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fileSharing readOnlyRecommended="1"/>
  <workbookPr updateLinks="never"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avbgs.sharepoint.com/sites/S-348-P-Emissionsbilanzierung/Freigegebene Dokumente/General/2. Teilnahmelisten/"/>
    </mc:Choice>
  </mc:AlternateContent>
  <xr:revisionPtr revIDLastSave="0" documentId="8_{4DBC4791-D57A-467A-B7A0-4C70DF0019C3}" xr6:coauthVersionLast="47" xr6:coauthVersionMax="47" xr10:uidLastSave="{00000000-0000-0000-0000-000000000000}"/>
  <bookViews>
    <workbookView xWindow="-120" yWindow="-120" windowWidth="29040" windowHeight="16440" tabRatio="577" xr2:uid="{00000000-000D-0000-FFFF-FFFF00000000}"/>
  </bookViews>
  <sheets>
    <sheet name="AnmeldeListe" sheetId="1" r:id="rId1"/>
    <sheet name="EingabeMaske" sheetId="5" r:id="rId2"/>
    <sheet name="HilfeListe" sheetId="2" r:id="rId3"/>
    <sheet name="ET-PKW" sheetId="6" r:id="rId4"/>
    <sheet name="ET-öff" sheetId="7" r:id="rId5"/>
    <sheet name="MT-öff-Org" sheetId="8" r:id="rId6"/>
    <sheet name="MT-öff-Co-Org" sheetId="9" r:id="rId7"/>
    <sheet name="MT-PKW-Org" sheetId="10" r:id="rId8"/>
    <sheet name="MT-PKW-Co-Org" sheetId="11" r:id="rId9"/>
  </sheets>
  <externalReferences>
    <externalReference r:id="rId10"/>
  </externalReferences>
  <definedNames>
    <definedName name="CO2_Erfassung">#REF!</definedName>
    <definedName name="Dauer">AnmeldeListe!$D$4</definedName>
    <definedName name="_xlnm.Print_Area" localSheetId="0">AnmeldeListe!$A$1:$BE$30</definedName>
    <definedName name="_xlnm.Print_Titles" localSheetId="0">AnmeldeListe!$A:$D</definedName>
    <definedName name="Essen">HilfeListe!$E$15:$F$36</definedName>
    <definedName name="Gruppen">HilfeListe!$B$15:$B$36</definedName>
    <definedName name="km">AnmeldeListe!$D$5</definedName>
    <definedName name="kmOrt">AnmeldeListe!$D$6</definedName>
    <definedName name="Länder">HilfeListe!$AA$15:$AA$45</definedName>
    <definedName name="LiftAnz">AnmeldeListe!$D$7</definedName>
    <definedName name="Mitgliedschaft">HilfeListe!$D$15:$D$36</definedName>
    <definedName name="Personen">AnmeldeListe!$D$3</definedName>
    <definedName name="Sportarten">HilfeListe!$H$15:$H$36</definedName>
    <definedName name="Teilnahme_Meldung">AnmeldeListe!$A$1:$AJ$29</definedName>
    <definedName name="Transport">HilfeListe!$T$15:$T$36</definedName>
    <definedName name="Transportmittel">HilfeListe!$I$15:$K$36</definedName>
    <definedName name="Trsp">HilfeListe!$J$15:$J$36</definedName>
    <definedName name="Unt">HilfeListe!$L$15:$L$36</definedName>
    <definedName name="Unterkünfte">HilfeListe!$M$15:$M$36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1" l="1"/>
  <c r="H37" i="2"/>
  <c r="I2" i="10"/>
  <c r="I2" i="9"/>
  <c r="I2" i="8"/>
  <c r="I2" i="6"/>
  <c r="I2" i="7"/>
  <c r="B38" i="6"/>
  <c r="A38" i="6"/>
  <c r="B20" i="11"/>
  <c r="B20" i="10"/>
  <c r="B26" i="10" s="1"/>
  <c r="B29" i="10" s="1"/>
  <c r="B49" i="10"/>
  <c r="A49" i="10"/>
  <c r="B15" i="10"/>
  <c r="B15" i="11" s="1"/>
  <c r="F15" i="11" s="1"/>
  <c r="F8" i="10"/>
  <c r="B8" i="10"/>
  <c r="G6" i="10"/>
  <c r="F6" i="10"/>
  <c r="B6" i="10"/>
  <c r="B4" i="10"/>
  <c r="B15" i="9"/>
  <c r="F8" i="9"/>
  <c r="B8" i="9"/>
  <c r="G6" i="9"/>
  <c r="F6" i="9"/>
  <c r="B6" i="9"/>
  <c r="B4" i="9"/>
  <c r="B47" i="9"/>
  <c r="A47" i="9"/>
  <c r="B44" i="7"/>
  <c r="A44" i="7"/>
  <c r="B47" i="8"/>
  <c r="A47" i="8"/>
  <c r="B15" i="8"/>
  <c r="F8" i="8"/>
  <c r="G6" i="8"/>
  <c r="F6" i="8"/>
  <c r="B8" i="8"/>
  <c r="B6" i="8"/>
  <c r="B4" i="8"/>
  <c r="B15" i="7"/>
  <c r="D15" i="7" s="1"/>
  <c r="F5" i="6"/>
  <c r="B10" i="7"/>
  <c r="B8" i="7"/>
  <c r="B6" i="7"/>
  <c r="B4" i="7"/>
  <c r="B14" i="6"/>
  <c r="B9" i="6"/>
  <c r="F9" i="6" s="1"/>
  <c r="B6" i="6"/>
  <c r="B5" i="6"/>
  <c r="B4" i="6"/>
  <c r="F42" i="11"/>
  <c r="F36" i="11"/>
  <c r="C29" i="11"/>
  <c r="B26" i="11"/>
  <c r="B29" i="11" s="1"/>
  <c r="F30" i="11" s="1"/>
  <c r="D16" i="11"/>
  <c r="F16" i="11" s="1"/>
  <c r="C16" i="11"/>
  <c r="B16" i="11"/>
  <c r="D15" i="11"/>
  <c r="E15" i="11" s="1"/>
  <c r="E14" i="11"/>
  <c r="B14" i="11"/>
  <c r="F14" i="11" s="1"/>
  <c r="F8" i="11"/>
  <c r="G6" i="11"/>
  <c r="B10" i="11" s="1"/>
  <c r="B37" i="11" s="1"/>
  <c r="F37" i="11" s="1"/>
  <c r="F6" i="11"/>
  <c r="B6" i="11"/>
  <c r="B4" i="11"/>
  <c r="F36" i="10"/>
  <c r="F16" i="10"/>
  <c r="E16" i="10"/>
  <c r="C16" i="10"/>
  <c r="F15" i="10"/>
  <c r="E15" i="10"/>
  <c r="F14" i="10"/>
  <c r="E14" i="10"/>
  <c r="F16" i="9"/>
  <c r="E16" i="9"/>
  <c r="D16" i="9"/>
  <c r="B16" i="9"/>
  <c r="C16" i="9" s="1"/>
  <c r="D15" i="9"/>
  <c r="E15" i="9" s="1"/>
  <c r="D14" i="9"/>
  <c r="E14" i="9" s="1"/>
  <c r="F16" i="8"/>
  <c r="E16" i="8"/>
  <c r="C16" i="8"/>
  <c r="E15" i="8"/>
  <c r="F14" i="8"/>
  <c r="E14" i="8"/>
  <c r="B33" i="7"/>
  <c r="D16" i="7"/>
  <c r="D14" i="7"/>
  <c r="C22" i="6"/>
  <c r="B20" i="6"/>
  <c r="B22" i="6" s="1"/>
  <c r="D23" i="6" s="1"/>
  <c r="D31" i="6" s="1"/>
  <c r="F10" i="6"/>
  <c r="F8" i="6"/>
  <c r="F30" i="10" l="1"/>
  <c r="F17" i="11"/>
  <c r="F17" i="10"/>
  <c r="F15" i="9"/>
  <c r="F15" i="8"/>
  <c r="F17" i="8" s="1"/>
  <c r="D17" i="7"/>
  <c r="B26" i="7" s="1"/>
  <c r="B34" i="7" s="1"/>
  <c r="B36" i="7" s="1"/>
  <c r="F11" i="6"/>
  <c r="E16" i="11"/>
  <c r="F14" i="9"/>
  <c r="F17" i="9" s="1"/>
  <c r="C14" i="11"/>
  <c r="C15" i="11"/>
  <c r="B34" i="11"/>
  <c r="F34" i="11" s="1"/>
  <c r="E31" i="1" l="1"/>
  <c r="G1" i="5"/>
  <c r="G12" i="5"/>
  <c r="G72" i="5"/>
  <c r="G73" i="5"/>
  <c r="N17" i="2"/>
  <c r="N18" i="2"/>
  <c r="G70" i="5" s="1"/>
  <c r="N19" i="2"/>
  <c r="G71" i="5" s="1"/>
  <c r="N20" i="2"/>
  <c r="G74" i="5" s="1"/>
  <c r="N21" i="2"/>
  <c r="G75" i="5" s="1"/>
  <c r="N22" i="2"/>
  <c r="G76" i="5" s="1"/>
  <c r="N23" i="2"/>
  <c r="N16" i="2"/>
  <c r="G60" i="5"/>
  <c r="G62" i="5"/>
  <c r="G63" i="5"/>
  <c r="G65" i="5"/>
  <c r="G17" i="5"/>
  <c r="G16" i="5"/>
  <c r="G13" i="5"/>
  <c r="G11" i="5"/>
  <c r="G8" i="5"/>
  <c r="G7" i="5"/>
  <c r="G9" i="5"/>
  <c r="G6" i="5"/>
  <c r="C96" i="5"/>
  <c r="B96" i="5"/>
  <c r="C95" i="5"/>
  <c r="I92" i="5"/>
  <c r="H92" i="5"/>
  <c r="G92" i="5"/>
  <c r="I88" i="5"/>
  <c r="H88" i="5"/>
  <c r="G88" i="5"/>
  <c r="I83" i="5"/>
  <c r="H83" i="5"/>
  <c r="I68" i="5"/>
  <c r="H68" i="5"/>
  <c r="I67" i="5"/>
  <c r="H67" i="5"/>
  <c r="D67" i="5"/>
  <c r="I58" i="5"/>
  <c r="H58" i="5"/>
  <c r="I52" i="5"/>
  <c r="H52" i="5"/>
  <c r="G52" i="5"/>
  <c r="I46" i="5"/>
  <c r="H46" i="5"/>
  <c r="G46" i="5"/>
  <c r="I20" i="5"/>
  <c r="I4" i="5" s="1"/>
  <c r="H20" i="5"/>
  <c r="H4" i="5" s="1"/>
  <c r="C19" i="5"/>
  <c r="I18" i="5"/>
  <c r="C15" i="5"/>
  <c r="I5" i="5"/>
  <c r="H5" i="5"/>
  <c r="C4" i="5"/>
  <c r="B4" i="5"/>
  <c r="D2" i="5"/>
  <c r="G68" i="5" l="1"/>
  <c r="U21" i="2" l="1"/>
  <c r="U20" i="2"/>
  <c r="X26" i="2"/>
  <c r="X25" i="2"/>
  <c r="X24" i="2"/>
  <c r="X23" i="2"/>
  <c r="X21" i="2"/>
  <c r="X20" i="2"/>
  <c r="X19" i="2"/>
  <c r="X18" i="2"/>
  <c r="X17" i="2"/>
  <c r="X16" i="2"/>
  <c r="U26" i="2"/>
  <c r="U25" i="2"/>
  <c r="W5" i="1" l="1"/>
  <c r="V5" i="1"/>
  <c r="J5" i="1"/>
  <c r="I5" i="1"/>
  <c r="I6" i="1" s="1"/>
  <c r="V4" i="1"/>
  <c r="T5" i="1"/>
  <c r="K5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I32" i="1"/>
  <c r="J32" i="1"/>
  <c r="A10" i="1"/>
  <c r="A11" i="1" l="1"/>
  <c r="G31" i="5"/>
  <c r="G30" i="5"/>
  <c r="G28" i="5"/>
  <c r="U5" i="1"/>
  <c r="M5" i="1"/>
  <c r="N5" i="1"/>
  <c r="O5" i="1"/>
  <c r="P5" i="1"/>
  <c r="Q5" i="1"/>
  <c r="R5" i="1"/>
  <c r="S5" i="1"/>
  <c r="L5" i="1"/>
  <c r="C29" i="1" l="1"/>
  <c r="I7" i="1"/>
  <c r="V7" i="1"/>
  <c r="V8" i="1" s="1"/>
  <c r="W7" i="1"/>
  <c r="A4" i="1"/>
  <c r="AJ31" i="1"/>
  <c r="AI31" i="1"/>
  <c r="AH31" i="1"/>
  <c r="AG31" i="1"/>
  <c r="AF31" i="1"/>
  <c r="AE31" i="1"/>
  <c r="AD31" i="1"/>
  <c r="AC31" i="1"/>
  <c r="AA31" i="1"/>
  <c r="AB31" i="1"/>
  <c r="A5" i="1"/>
  <c r="A9" i="1" l="1"/>
  <c r="W6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27" i="1"/>
  <c r="A28" i="1" s="1"/>
  <c r="A26" i="1"/>
  <c r="A25" i="1"/>
  <c r="A24" i="1"/>
  <c r="H24" i="1" s="1"/>
  <c r="A23" i="1"/>
  <c r="A22" i="1"/>
  <c r="A21" i="1"/>
  <c r="A20" i="1"/>
  <c r="A19" i="1"/>
  <c r="A18" i="1"/>
  <c r="A17" i="1"/>
  <c r="A16" i="1"/>
  <c r="A15" i="1"/>
  <c r="A14" i="1"/>
  <c r="AW8" i="1"/>
  <c r="AA8" i="1"/>
  <c r="AC8" i="1"/>
  <c r="AJ8" i="1"/>
  <c r="AI8" i="1"/>
  <c r="AH8" i="1"/>
  <c r="AG8" i="1"/>
  <c r="AF8" i="1"/>
  <c r="AE8" i="1"/>
  <c r="AD8" i="1"/>
  <c r="AB8" i="1"/>
  <c r="AA6" i="1"/>
  <c r="AB6" i="1" s="1"/>
  <c r="AC6" i="1" s="1"/>
  <c r="AD6" i="1" s="1"/>
  <c r="AE6" i="1" s="1"/>
  <c r="AF6" i="1" s="1"/>
  <c r="AG6" i="1" s="1"/>
  <c r="AH6" i="1" s="1"/>
  <c r="AI6" i="1" s="1"/>
  <c r="AJ6" i="1" s="1"/>
  <c r="AA5" i="1"/>
  <c r="AB4" i="1"/>
  <c r="AC4" i="1" s="1"/>
  <c r="AD4" i="1" s="1"/>
  <c r="AE4" i="1" s="1"/>
  <c r="AF4" i="1" s="1"/>
  <c r="AG4" i="1" s="1"/>
  <c r="AH4" i="1" s="1"/>
  <c r="AI4" i="1" s="1"/>
  <c r="AJ4" i="1" s="1"/>
  <c r="AK8" i="1"/>
  <c r="AU8" i="1"/>
  <c r="AT8" i="1"/>
  <c r="AS8" i="1"/>
  <c r="AR8" i="1"/>
  <c r="AQ8" i="1"/>
  <c r="AP8" i="1"/>
  <c r="AO8" i="1"/>
  <c r="AN8" i="1"/>
  <c r="AM8" i="1"/>
  <c r="AL8" i="1"/>
  <c r="U8" i="1"/>
  <c r="U6" i="1" s="1"/>
  <c r="T8" i="1"/>
  <c r="T6" i="1" s="1"/>
  <c r="S8" i="1"/>
  <c r="S6" i="1" s="1"/>
  <c r="R8" i="1"/>
  <c r="R6" i="1" s="1"/>
  <c r="Q8" i="1"/>
  <c r="Q6" i="1" s="1"/>
  <c r="P8" i="1"/>
  <c r="P6" i="1" s="1"/>
  <c r="O8" i="1"/>
  <c r="O6" i="1" s="1"/>
  <c r="N8" i="1"/>
  <c r="N6" i="1" s="1"/>
  <c r="M8" i="1"/>
  <c r="M6" i="1" s="1"/>
  <c r="L8" i="1"/>
  <c r="L6" i="1" s="1"/>
  <c r="K8" i="1"/>
  <c r="K6" i="1" s="1"/>
  <c r="J8" i="1"/>
  <c r="BD7" i="1"/>
  <c r="BC7" i="1"/>
  <c r="BB7" i="1"/>
  <c r="BA7" i="1"/>
  <c r="AZ7" i="1"/>
  <c r="AY7" i="1"/>
  <c r="AX7" i="1"/>
  <c r="BD6" i="1"/>
  <c r="BC6" i="1"/>
  <c r="BB6" i="1"/>
  <c r="BA6" i="1"/>
  <c r="AZ6" i="1"/>
  <c r="AY6" i="1"/>
  <c r="AX6" i="1"/>
  <c r="G61" i="5" l="1"/>
  <c r="G64" i="5"/>
  <c r="G59" i="5"/>
  <c r="G29" i="5"/>
  <c r="G24" i="5"/>
  <c r="G25" i="5"/>
  <c r="G27" i="5"/>
  <c r="G22" i="5"/>
  <c r="G26" i="5"/>
  <c r="G23" i="5"/>
  <c r="J6" i="1"/>
  <c r="V6" i="1"/>
  <c r="H9" i="1"/>
  <c r="W31" i="1"/>
  <c r="V31" i="1"/>
  <c r="AB5" i="1"/>
  <c r="AC5" i="1" s="1"/>
  <c r="AD5" i="1" s="1"/>
  <c r="AE5" i="1" s="1"/>
  <c r="AF5" i="1" s="1"/>
  <c r="AG5" i="1" s="1"/>
  <c r="AH5" i="1" s="1"/>
  <c r="AI5" i="1" s="1"/>
  <c r="AJ5" i="1" s="1"/>
  <c r="I8" i="1"/>
  <c r="H23" i="1"/>
  <c r="AY8" i="1"/>
  <c r="AZ8" i="1"/>
  <c r="BA8" i="1"/>
  <c r="BC8" i="1"/>
  <c r="BB8" i="1"/>
  <c r="BD8" i="1"/>
  <c r="AX8" i="1"/>
  <c r="G20" i="5" l="1"/>
  <c r="G67" i="5"/>
  <c r="A12" i="1"/>
  <c r="A13" i="1"/>
  <c r="H8" i="1"/>
  <c r="H10" i="1"/>
  <c r="A8" i="1" l="1"/>
  <c r="H11" i="1"/>
  <c r="G86" i="5" l="1"/>
  <c r="G85" i="5"/>
  <c r="G87" i="5" s="1"/>
  <c r="X7" i="1"/>
  <c r="X6" i="1"/>
  <c r="D3" i="1"/>
  <c r="D4" i="1"/>
  <c r="H12" i="1"/>
  <c r="H14" i="1"/>
  <c r="H13" i="1"/>
  <c r="H21" i="1"/>
  <c r="AK28" i="1" l="1"/>
  <c r="AK16" i="1"/>
  <c r="AK11" i="1"/>
  <c r="AK21" i="1"/>
  <c r="B10" i="9"/>
  <c r="C14" i="10"/>
  <c r="C15" i="10" s="1"/>
  <c r="C14" i="8"/>
  <c r="C15" i="8" s="1"/>
  <c r="AK27" i="1"/>
  <c r="AK15" i="1"/>
  <c r="AK26" i="1"/>
  <c r="AK14" i="1"/>
  <c r="AK25" i="1"/>
  <c r="AK13" i="1"/>
  <c r="AK24" i="1"/>
  <c r="AK12" i="1"/>
  <c r="AK23" i="1"/>
  <c r="AK22" i="1"/>
  <c r="AK10" i="1"/>
  <c r="C14" i="9"/>
  <c r="C15" i="9" s="1"/>
  <c r="AK9" i="1"/>
  <c r="AK19" i="1"/>
  <c r="AK18" i="1"/>
  <c r="B10" i="10"/>
  <c r="AK17" i="1"/>
  <c r="B10" i="8"/>
  <c r="AK20" i="1"/>
  <c r="G66" i="5"/>
  <c r="G58" i="5" s="1"/>
  <c r="G84" i="5"/>
  <c r="G83" i="5" s="1"/>
  <c r="G14" i="5"/>
  <c r="G15" i="5"/>
  <c r="H15" i="1"/>
  <c r="H22" i="1"/>
  <c r="B30" i="8" l="1"/>
  <c r="F30" i="8" s="1"/>
  <c r="B18" i="8"/>
  <c r="B33" i="8"/>
  <c r="F33" i="8" s="1"/>
  <c r="B34" i="10"/>
  <c r="F34" i="10" s="1"/>
  <c r="B37" i="10"/>
  <c r="F37" i="10" s="1"/>
  <c r="B33" i="9"/>
  <c r="F33" i="9" s="1"/>
  <c r="B18" i="9"/>
  <c r="B32" i="9" s="1"/>
  <c r="F32" i="9" s="1"/>
  <c r="B30" i="9"/>
  <c r="F30" i="9" s="1"/>
  <c r="G5" i="5"/>
  <c r="G4" i="5" s="1"/>
  <c r="H16" i="1"/>
  <c r="H17" i="1"/>
  <c r="F35" i="9" l="1"/>
  <c r="F39" i="9" s="1"/>
  <c r="F42" i="10"/>
  <c r="B32" i="8"/>
  <c r="F32" i="8" s="1"/>
  <c r="F35" i="8" s="1"/>
  <c r="F36" i="8"/>
  <c r="H18" i="1"/>
  <c r="H19" i="1"/>
  <c r="F39" i="8" l="1"/>
  <c r="H20" i="1"/>
  <c r="H26" i="1" l="1"/>
  <c r="H25" i="1"/>
  <c r="H27" i="1" l="1"/>
  <c r="H28" i="1" l="1"/>
  <c r="Y2" i="1" s="1"/>
  <c r="AW2" i="1"/>
  <c r="D1" i="1" l="1"/>
  <c r="AW3" i="1"/>
  <c r="Y3" i="1"/>
  <c r="H29" i="1"/>
  <c r="AK29" i="1"/>
  <c r="A30" i="1"/>
  <c r="D33" i="1" l="1"/>
  <c r="D32" i="1"/>
  <c r="D31" i="1"/>
  <c r="D2" i="1"/>
  <c r="A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</author>
    <author/>
  </authors>
  <commentList>
    <comment ref="A1" authorId="0" shapeId="0" xr:uid="{E05B99E6-EE01-4615-9D5B-4826E4887079}">
      <text>
        <r>
          <rPr>
            <sz val="9"/>
            <color indexed="81"/>
            <rFont val="Segoe UI"/>
            <family val="2"/>
          </rPr>
          <t xml:space="preserve">--- Legende ---- 
weiß -  Eingabefeld
hellgelb - Zwangs-Eingabefeld (Eingabe fehlt)
grau - Formatfeld: möglichst nicht verändern
blaue Schrift - autom. Formel, möglichst nicht verändern
rot - Achtung Problem
gelb - Warnung / Hinweis
grün - hervorgehoben
</t>
        </r>
      </text>
    </comment>
    <comment ref="D1" authorId="1" shapeId="0" xr:uid="{E829BC12-1FA1-4EE6-96DA-7137FE9533B6}">
      <text>
        <r>
          <rPr>
            <b/>
            <sz val="10"/>
            <color rgb="FF000000"/>
            <rFont val="Arial"/>
            <family val="2"/>
          </rPr>
          <t>Gesamt CO2 der Tour</t>
        </r>
        <r>
          <rPr>
            <sz val="10"/>
            <color rgb="FF000000"/>
            <rFont val="Arial"/>
            <family val="2"/>
          </rPr>
          <t xml:space="preserve">
&lt;500kg: gering
&lt;1000kg: mäßig
&lt;2000kg: groß
&gt;2000kg: sehr groß  - bitte besonders optimieren! </t>
        </r>
      </text>
    </comment>
    <comment ref="D2" authorId="1" shapeId="0" xr:uid="{ADEC7129-8216-46A4-9E9D-DB709F430CA9}">
      <text>
        <r>
          <rPr>
            <b/>
            <sz val="10"/>
            <color rgb="FF000000"/>
            <rFont val="Arial"/>
            <family val="2"/>
          </rPr>
          <t xml:space="preserve">Durchschnitt kg CO2/Tag in D </t>
        </r>
        <r>
          <rPr>
            <sz val="10"/>
            <color rgb="FF000000"/>
            <rFont val="Arial"/>
            <family val="2"/>
          </rPr>
          <t xml:space="preserve">
für Mobilität: 5,9
für Wohnen: 7,4 
für Ernährung: 4,6
&lt;18:akzeptabel
&lt;=27 mässig
&lt;=36 ungünstig
&gt;36 schlecht</t>
        </r>
      </text>
    </comment>
    <comment ref="Y3" authorId="1" shapeId="0" xr:uid="{B6C7AD2F-F166-46E4-A449-99A7BED9ADD2}">
      <text>
        <r>
          <rPr>
            <sz val="10"/>
            <color rgb="FF000000"/>
            <rFont val="Arial"/>
            <family val="2"/>
          </rPr>
          <t>Durchschnitt kg CO2/Tag in D 
für Mobilität: 5,9
&lt;5,9:akzeptabel
&lt;=8,9 mässig
&lt;=11,8 ungünstig
&gt;11,8 schlecht</t>
        </r>
      </text>
    </comment>
    <comment ref="AW3" authorId="1" shapeId="0" xr:uid="{5D9D02E6-3E7C-4AF1-83BF-EDDC81A0C2CE}">
      <text>
        <r>
          <rPr>
            <sz val="10"/>
            <color rgb="FF000000"/>
            <rFont val="Arial"/>
            <family val="2"/>
          </rPr>
          <t>Durchschnitt kg CO2/Tag in D 
für Wohnen: 7,4 
für Ernährung: 4,6
&lt;12 akzeptabel
&lt;=18 mässig
&lt;=24 ungünstig
&gt;24 schlecht</t>
        </r>
      </text>
    </comment>
    <comment ref="B4" authorId="0" shapeId="0" xr:uid="{D3B37E75-6C9C-4FA2-A19C-AB7C51A20F8B}">
      <text>
        <r>
          <rPr>
            <b/>
            <sz val="9"/>
            <color indexed="81"/>
            <rFont val="Segoe UI"/>
            <family val="2"/>
          </rPr>
          <t>Beginn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4" authorId="0" shapeId="0" xr:uid="{8C20A686-C735-409A-BE41-B335A41E5C1E}">
      <text>
        <r>
          <rPr>
            <b/>
            <sz val="9"/>
            <color indexed="81"/>
            <rFont val="Segoe UI"/>
            <family val="2"/>
          </rPr>
          <t>Ende</t>
        </r>
      </text>
    </comment>
    <comment ref="AX4" authorId="1" shapeId="0" xr:uid="{00000000-0006-0000-0000-000002000000}">
      <text>
        <r>
          <rPr>
            <sz val="10"/>
            <color rgb="FF000000"/>
            <rFont val="Arial"/>
            <family val="2"/>
          </rPr>
          <t>vorhanden (+)
ausleihen (-)
kein Bedarf ()</t>
        </r>
      </text>
    </comment>
    <comment ref="D5" authorId="0" shapeId="0" xr:uid="{01C93A61-78AD-4276-BE46-6897CB2D2464}">
      <text>
        <r>
          <rPr>
            <b/>
            <sz val="9"/>
            <color indexed="81"/>
            <rFont val="Segoe UI"/>
            <family val="2"/>
          </rPr>
          <t>gefahrende km : Anreise + Abreise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" authorId="0" shapeId="0" xr:uid="{9CAA55CE-A1B0-4DBD-96F5-F0242A783C37}">
      <text>
        <r>
          <rPr>
            <b/>
            <sz val="9"/>
            <color indexed="81"/>
            <rFont val="Segoe UI"/>
            <family val="2"/>
          </rPr>
          <t>gefahrende km :  vorOrt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6" authorId="0" shapeId="0" xr:uid="{10050704-BD93-4F6E-843A-1A5AD31161C1}">
      <text>
        <r>
          <rPr>
            <b/>
            <sz val="9"/>
            <color indexed="81"/>
            <rFont val="Segoe UI"/>
            <family val="2"/>
          </rPr>
          <t>g CO2 / Person / km:
grün: &lt;=45g
orange: &lt;67,5g
gelb: &lt;90g
rot</t>
        </r>
      </text>
    </comment>
    <comment ref="X6" authorId="0" shapeId="0" xr:uid="{68486A49-C4A3-4979-A76A-1073532501B4}">
      <text>
        <r>
          <rPr>
            <sz val="10"/>
            <color rgb="FF000000"/>
            <rFont val="Arial"/>
            <family val="2"/>
          </rPr>
          <t>gut : Bahn 45g/km/Person
ungünstig: &lt;67g
schlecht: &lt;=90
sehr schlecht &gt;90g</t>
        </r>
      </text>
    </comment>
    <comment ref="D7" authorId="0" shapeId="0" xr:uid="{C1F6C66F-2117-4A8C-9725-8A000C9966D9}">
      <text>
        <r>
          <rPr>
            <b/>
            <sz val="9"/>
            <color indexed="81"/>
            <rFont val="Segoe UI"/>
            <family val="2"/>
          </rPr>
          <t>Anzahl Fahrten pro Person und Veranstaltung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X7" authorId="0" shapeId="0" xr:uid="{0B3AB768-2C61-4264-BC7E-67057E3C7349}">
      <text>
        <r>
          <rPr>
            <b/>
            <sz val="9"/>
            <color indexed="81"/>
            <rFont val="Segoe UI"/>
            <family val="2"/>
          </rPr>
          <t>Auslastung PKW [%]
mit Personen</t>
        </r>
        <r>
          <rPr>
            <sz val="9"/>
            <color indexed="81"/>
            <rFont val="Segoe UI"/>
            <family val="2"/>
          </rPr>
          <t xml:space="preserve">
rot:&lt;50% 
organge: &lt;=66%
gelb: &lt;75%
grün</t>
        </r>
      </text>
    </comment>
    <comment ref="E8" authorId="0" shapeId="0" xr:uid="{CFD4CF99-13E1-4D26-B259-0D47649911B2}">
      <text>
        <r>
          <rPr>
            <sz val="9"/>
            <color indexed="81"/>
            <rFont val="Segoe UI"/>
            <family val="2"/>
          </rPr>
          <t>1: DAV Sektion Altdorf
0: kein DAV
div: andere AV Sektion</t>
        </r>
      </text>
    </comment>
    <comment ref="H8" authorId="0" shapeId="0" xr:uid="{7FD6B8B0-51DC-4C77-9A80-D06C83787F89}">
      <text>
        <r>
          <rPr>
            <b/>
            <sz val="9"/>
            <color indexed="81"/>
            <rFont val="Segoe UI"/>
            <family val="2"/>
          </rPr>
          <t>unbelegte Sitzplätze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1" authorId="0" shapeId="0" xr:uid="{60BBEEF6-A5CE-4176-9CB1-222E9EE34526}">
      <text>
        <r>
          <rPr>
            <b/>
            <sz val="9"/>
            <color indexed="81"/>
            <rFont val="Segoe UI"/>
            <family val="2"/>
          </rPr>
          <t>Preis 2023</t>
        </r>
      </text>
    </comment>
    <comment ref="D32" authorId="0" shapeId="0" xr:uid="{486928DA-4705-4383-AB67-BC8F0A1387BC}">
      <text>
        <r>
          <rPr>
            <b/>
            <sz val="9"/>
            <color indexed="81"/>
            <rFont val="Segoe UI"/>
            <family val="2"/>
          </rPr>
          <t>Preis 2025</t>
        </r>
      </text>
    </comment>
    <comment ref="D33" authorId="0" shapeId="0" xr:uid="{F26F8B92-D082-43D9-B266-8D7C34FAE47B}">
      <text>
        <r>
          <rPr>
            <b/>
            <sz val="9"/>
            <color indexed="81"/>
            <rFont val="Segoe UI"/>
            <family val="2"/>
          </rPr>
          <t>Preis 2030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</author>
  </authors>
  <commentList>
    <comment ref="F15" authorId="0" shapeId="0" xr:uid="{9ECC0938-5F39-4A19-AB13-D98A0E8085E7}">
      <text>
        <r>
          <rPr>
            <b/>
            <sz val="9"/>
            <color indexed="81"/>
            <rFont val="Segoe UI"/>
            <family val="2"/>
          </rPr>
          <t>Quelle: Signal/Reichenbach</t>
        </r>
      </text>
    </comment>
    <comment ref="O15" authorId="0" shapeId="0" xr:uid="{8D91FCB9-106D-44CB-B9C7-067390935BC1}">
      <text>
        <r>
          <rPr>
            <b/>
            <sz val="9"/>
            <color indexed="81"/>
            <rFont val="Segoe UI"/>
            <family val="2"/>
          </rPr>
          <t xml:space="preserve">Quelle: atmosfair.de
</t>
        </r>
      </text>
    </comment>
    <comment ref="Q15" authorId="0" shapeId="0" xr:uid="{E803ECC5-9F2C-4479-A57C-4B3315A841E7}">
      <text>
        <r>
          <rPr>
            <b/>
            <sz val="9"/>
            <color indexed="81"/>
            <rFont val="Segoe UI"/>
            <family val="2"/>
          </rPr>
          <t>Quelle: Schätzung</t>
        </r>
      </text>
    </comment>
    <comment ref="S15" authorId="0" shapeId="0" xr:uid="{BE8E4FA6-4241-4975-B876-AE0402D05E4C}">
      <text>
        <r>
          <rPr>
            <b/>
            <sz val="9"/>
            <color indexed="81"/>
            <rFont val="Segoe UI"/>
            <family val="2"/>
          </rPr>
          <t>Quelle: Schätzung</t>
        </r>
      </text>
    </comment>
    <comment ref="U15" authorId="0" shapeId="0" xr:uid="{4681E846-BB58-41D9-8EE5-9FB0F56717A9}">
      <text>
        <r>
          <rPr>
            <b/>
            <sz val="9"/>
            <color indexed="81"/>
            <rFont val="Segoe UI"/>
            <family val="2"/>
          </rPr>
          <t>Quelle: Schätzung</t>
        </r>
      </text>
    </comment>
    <comment ref="Q16" authorId="0" shapeId="0" xr:uid="{25AA3963-C23A-42CD-B596-22BA31C0820F}">
      <text>
        <r>
          <rPr>
            <b/>
            <sz val="9"/>
            <color indexed="81"/>
            <rFont val="Segoe UI"/>
            <family val="2"/>
          </rPr>
          <t xml:space="preserve">Annahme </t>
        </r>
      </text>
    </comment>
    <comment ref="O19" authorId="0" shapeId="0" xr:uid="{00F1F804-1B76-4A82-8A54-99BD14F8747E}">
      <text>
        <r>
          <rPr>
            <b/>
            <sz val="9"/>
            <color indexed="81"/>
            <rFont val="Segoe UI"/>
            <family val="2"/>
          </rPr>
          <t>Annahme relativ zu oben</t>
        </r>
      </text>
    </comment>
    <comment ref="O20" authorId="0" shapeId="0" xr:uid="{C02D1BE9-9533-4C21-916F-7815AF858CE0}">
      <text>
        <r>
          <rPr>
            <b/>
            <sz val="9"/>
            <color indexed="81"/>
            <rFont val="Segoe UI"/>
            <family val="2"/>
          </rPr>
          <t>planetly</t>
        </r>
      </text>
    </comment>
    <comment ref="O21" authorId="0" shapeId="0" xr:uid="{2ED9A048-CFD5-4829-A69C-C15AE652F301}">
      <text>
        <r>
          <rPr>
            <b/>
            <sz val="9"/>
            <color indexed="81"/>
            <rFont val="Segoe UI"/>
            <family val="2"/>
          </rPr>
          <t>planetly</t>
        </r>
      </text>
    </comment>
    <comment ref="O22" authorId="0" shapeId="0" xr:uid="{3598F848-34D0-4422-BD33-AE50FD292B2B}">
      <text>
        <r>
          <rPr>
            <b/>
            <sz val="9"/>
            <color indexed="81"/>
            <rFont val="Segoe UI"/>
            <family val="2"/>
          </rPr>
          <t>planetly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Mueller</author>
  </authors>
  <commentList>
    <comment ref="C12" authorId="0" shapeId="0" xr:uid="{36EF49BD-E68A-4E37-B772-7032CBE7B98D}">
      <text>
        <r>
          <rPr>
            <b/>
            <sz val="8"/>
            <color indexed="81"/>
            <rFont val="Tahoma"/>
            <family val="2"/>
          </rPr>
          <t>Mueller:</t>
        </r>
        <r>
          <rPr>
            <sz val="8"/>
            <color indexed="81"/>
            <rFont val="Tahoma"/>
            <family val="2"/>
          </rPr>
          <t xml:space="preserve">
Angaben pro Person
z.B. 3-Tagesfahrt
Anzahl Übernachtung = 2
</t>
        </r>
      </text>
    </comment>
    <comment ref="E12" authorId="0" shapeId="0" xr:uid="{36BBFE52-7925-4C60-86DE-1768CAD550A2}">
      <text>
        <r>
          <rPr>
            <b/>
            <sz val="8"/>
            <color indexed="81"/>
            <rFont val="Tahoma"/>
            <family val="2"/>
          </rPr>
          <t>Mueller:</t>
        </r>
        <r>
          <rPr>
            <sz val="8"/>
            <color indexed="81"/>
            <rFont val="Tahoma"/>
            <family val="2"/>
          </rPr>
          <t xml:space="preserve">
Angaben pro Person
z.B. 2-Tagesfahrt
Anzahl Übernachtung = 1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Mueller</author>
  </authors>
  <commentList>
    <comment ref="C12" authorId="0" shapeId="0" xr:uid="{B3A1ED63-4A59-49F4-BE3A-54D79CBA1133}">
      <text>
        <r>
          <rPr>
            <b/>
            <sz val="8"/>
            <color indexed="81"/>
            <rFont val="Tahoma"/>
            <family val="2"/>
          </rPr>
          <t>Mueller:</t>
        </r>
        <r>
          <rPr>
            <sz val="8"/>
            <color indexed="81"/>
            <rFont val="Tahoma"/>
            <family val="2"/>
          </rPr>
          <t xml:space="preserve">
Angaben pro Person
z.B. 3-Tagesfahrt
Anzahl Übernachtung = 2
</t>
        </r>
      </text>
    </comment>
    <comment ref="E12" authorId="0" shapeId="0" xr:uid="{393E165E-B48D-4F6B-844A-7F01770F5AA6}">
      <text>
        <r>
          <rPr>
            <b/>
            <sz val="8"/>
            <color indexed="81"/>
            <rFont val="Tahoma"/>
            <family val="2"/>
          </rPr>
          <t>Mueller:</t>
        </r>
        <r>
          <rPr>
            <sz val="8"/>
            <color indexed="81"/>
            <rFont val="Tahoma"/>
            <family val="2"/>
          </rPr>
          <t xml:space="preserve">
Angaben pro Person
z.B. 2-Tagesfahrt
Anzahl Übernachtung = 1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Mueller</author>
  </authors>
  <commentList>
    <comment ref="C12" authorId="0" shapeId="0" xr:uid="{DA5D6205-E4ED-43A5-92A9-0642EB446E07}">
      <text>
        <r>
          <rPr>
            <b/>
            <sz val="8"/>
            <color indexed="81"/>
            <rFont val="Tahoma"/>
            <family val="2"/>
          </rPr>
          <t>Mueller:</t>
        </r>
        <r>
          <rPr>
            <sz val="8"/>
            <color indexed="81"/>
            <rFont val="Tahoma"/>
            <family val="2"/>
          </rPr>
          <t xml:space="preserve">
Angaben pro Person
z.B. 3-Tagesfahrt
Anzahl Übernachtung = 2
</t>
        </r>
      </text>
    </comment>
    <comment ref="E12" authorId="0" shapeId="0" xr:uid="{3D73C800-90B1-4AFE-974A-CC186DFC1CBD}">
      <text>
        <r>
          <rPr>
            <b/>
            <sz val="8"/>
            <color indexed="81"/>
            <rFont val="Tahoma"/>
            <family val="2"/>
          </rPr>
          <t>Mueller:</t>
        </r>
        <r>
          <rPr>
            <sz val="8"/>
            <color indexed="81"/>
            <rFont val="Tahoma"/>
            <family val="2"/>
          </rPr>
          <t xml:space="preserve">
Angaben pro Person
z.B. 2-Tagesfahrt
Anzahl Übernachtung = 1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Mueller</author>
  </authors>
  <commentList>
    <comment ref="C12" authorId="0" shapeId="0" xr:uid="{55534C51-060D-47DB-AFAD-1476A90C4281}">
      <text>
        <r>
          <rPr>
            <b/>
            <sz val="8"/>
            <color indexed="81"/>
            <rFont val="Tahoma"/>
            <family val="2"/>
          </rPr>
          <t>Mueller:</t>
        </r>
        <r>
          <rPr>
            <sz val="8"/>
            <color indexed="81"/>
            <rFont val="Tahoma"/>
            <family val="2"/>
          </rPr>
          <t xml:space="preserve">
Angaben pro Person
z.B. 3-Tagesfahrt
Anzahl Übernachtung = 2
</t>
        </r>
      </text>
    </comment>
    <comment ref="E12" authorId="0" shapeId="0" xr:uid="{CFC82406-816B-480A-855E-249B61BCC1E8}">
      <text>
        <r>
          <rPr>
            <b/>
            <sz val="8"/>
            <color indexed="81"/>
            <rFont val="Tahoma"/>
            <family val="2"/>
          </rPr>
          <t>Mueller:</t>
        </r>
        <r>
          <rPr>
            <sz val="8"/>
            <color indexed="81"/>
            <rFont val="Tahoma"/>
            <family val="2"/>
          </rPr>
          <t xml:space="preserve">
Angaben pro Person
z.B. 2-Tagesfahrt
Anzahl Übernachtung = 1
</t>
        </r>
      </text>
    </comment>
  </commentList>
</comments>
</file>

<file path=xl/sharedStrings.xml><?xml version="1.0" encoding="utf-8"?>
<sst xmlns="http://schemas.openxmlformats.org/spreadsheetml/2006/main" count="909" uniqueCount="517">
  <si>
    <t>DAV Altdorf</t>
  </si>
  <si>
    <t>Sektion</t>
  </si>
  <si>
    <t>kgCO2</t>
  </si>
  <si>
    <t>AusschreibungsText:
&lt; aus Webseite Touren-Angebot &gt;</t>
  </si>
  <si>
    <t>Fahrgemeinschaft (-&gt; mit Fahrer absprechen)</t>
  </si>
  <si>
    <t>Übernachtungen</t>
  </si>
  <si>
    <t>Zimmergemeinschaft (-&gt; absprechen)</t>
  </si>
  <si>
    <t>Ausrüstung (-&gt; mit Orga. absprechen)</t>
  </si>
  <si>
    <t>Teilnahmeliste</t>
  </si>
  <si>
    <t>V-2025-xx-xx</t>
  </si>
  <si>
    <t>kgCO2 /P /d</t>
  </si>
  <si>
    <t>Fahr-
zeug</t>
  </si>
  <si>
    <t>NN</t>
  </si>
  <si>
    <t>kg CO2</t>
  </si>
  <si>
    <t>Unterkunft</t>
  </si>
  <si>
    <t>??</t>
  </si>
  <si>
    <t>?</t>
  </si>
  <si>
    <t>(Berg-)Wandern</t>
  </si>
  <si>
    <t>Beispieltour</t>
  </si>
  <si>
    <t>Pers</t>
  </si>
  <si>
    <t>Typ</t>
  </si>
  <si>
    <t>Regio</t>
  </si>
  <si>
    <t>Van-Diesel</t>
  </si>
  <si>
    <t>PKW-Benzin</t>
  </si>
  <si>
    <t>Strom-Öko</t>
  </si>
  <si>
    <t>ohne</t>
  </si>
  <si>
    <t>Sonst</t>
  </si>
  <si>
    <t>Kat</t>
  </si>
  <si>
    <t>Hot4</t>
  </si>
  <si>
    <t>Kat.</t>
  </si>
  <si>
    <t>Hütte (nicht DAV)</t>
  </si>
  <si>
    <t>Tage</t>
  </si>
  <si>
    <t>l,kWh,kg
/100km</t>
  </si>
  <si>
    <t>TagNr</t>
  </si>
  <si>
    <t>Name</t>
  </si>
  <si>
    <t>Essen</t>
  </si>
  <si>
    <t>L
V
S</t>
  </si>
  <si>
    <t>Son
de</t>
  </si>
  <si>
    <t>Schau
fel</t>
  </si>
  <si>
    <t>Steig
eisen</t>
  </si>
  <si>
    <t>Pick
el</t>
  </si>
  <si>
    <t>Eis
Schraube</t>
  </si>
  <si>
    <t>Se
il</t>
  </si>
  <si>
    <t>Kommentar (Größe, weiteres Material, …</t>
  </si>
  <si>
    <t>Österreich</t>
  </si>
  <si>
    <t>&lt;Ort&gt;</t>
  </si>
  <si>
    <t>km</t>
  </si>
  <si>
    <t>kgCO2/l</t>
  </si>
  <si>
    <t>Datum</t>
  </si>
  <si>
    <t>Zi 
App.</t>
  </si>
  <si>
    <t>Bett-Lag</t>
  </si>
  <si>
    <t>DZ</t>
  </si>
  <si>
    <t>vegan</t>
  </si>
  <si>
    <t>-1: benötige eins
1/2/3: bringe mit 1/2/3</t>
  </si>
  <si>
    <t>mittlere Tour</t>
  </si>
  <si>
    <t>CO2 
[g/Pkm]</t>
  </si>
  <si>
    <t>Wochentag</t>
  </si>
  <si>
    <t>ÜF/
HP</t>
  </si>
  <si>
    <t>HP</t>
  </si>
  <si>
    <t>veget</t>
  </si>
  <si>
    <t xml:space="preserve">Anzahl-ung
</t>
  </si>
  <si>
    <t>benötigt</t>
  </si>
  <si>
    <t>max. Anzahl</t>
  </si>
  <si>
    <t>Teilnehmer</t>
  </si>
  <si>
    <t>Lift</t>
  </si>
  <si>
    <t>Sitz
plätze</t>
  </si>
  <si>
    <t>Plätze</t>
  </si>
  <si>
    <t>fleisch</t>
  </si>
  <si>
    <t>vorhanden</t>
  </si>
  <si>
    <t>Summe</t>
  </si>
  <si>
    <t>HandyNr Tour</t>
  </si>
  <si>
    <t>DAV A</t>
  </si>
  <si>
    <t>Notfall-Kontakt (ICE)</t>
  </si>
  <si>
    <t>Kommentar</t>
  </si>
  <si>
    <t>Komm. Hin</t>
  </si>
  <si>
    <t>Komm. Rück</t>
  </si>
  <si>
    <t>a</t>
  </si>
  <si>
    <t>Orga1</t>
  </si>
  <si>
    <t>ü</t>
  </si>
  <si>
    <t>b</t>
  </si>
  <si>
    <t>Orga2</t>
  </si>
  <si>
    <t xml:space="preserve">Stand: </t>
  </si>
  <si>
    <t>V 9/11/2024</t>
  </si>
  <si>
    <t>FAQ:
- Schlafsack/Bettzeug?
- Handtuch?
- Hüttenschuhe?
- Bezahlung (EC, bar)?
- Foto-Austausch?</t>
  </si>
  <si>
    <t xml:space="preserve">to do: 
- Signalgruppe einladen / Meldebestätigung an Teilnehmende
- Meldung an schatzmeister@dav-altdorf.de 
   cc Gruppenleitung
- CO2-Erfassung an Naturschutz@dav-altdorf.de
</t>
  </si>
  <si>
    <t>Anz. 
Dachkoffer, Radträger</t>
  </si>
  <si>
    <t>gemeinsam ausgeliehen bei DAV-Sektion durch ???</t>
  </si>
  <si>
    <t>vermeiden/reduzieren/Kompensation:</t>
  </si>
  <si>
    <t>Quelle: DAV_Veranstaltungsrechner_BJ2024_26.02.24</t>
  </si>
  <si>
    <t>DAV Veranstaltungsaktivitäten</t>
  </si>
  <si>
    <t>BEISPIEL</t>
  </si>
  <si>
    <t>EINHEIT</t>
  </si>
  <si>
    <t>NOTIZEN</t>
  </si>
  <si>
    <t>Allgemeine Daten</t>
  </si>
  <si>
    <r>
      <t>DAV-Sektion</t>
    </r>
    <r>
      <rPr>
        <b/>
        <sz val="10"/>
        <color theme="5"/>
        <rFont val="Tahoma"/>
        <family val="2"/>
      </rPr>
      <t>*</t>
    </r>
  </si>
  <si>
    <t>Sektion, die die Veranstaltung organisiert</t>
  </si>
  <si>
    <t>Friedrichshafen</t>
  </si>
  <si>
    <t>Veranstaltungs/-Gruppennamen</t>
  </si>
  <si>
    <t>Name der Veranstaltung/Gruppe</t>
  </si>
  <si>
    <t>Kletterfüchse</t>
  </si>
  <si>
    <t>Referat/Geschäftsbereich/Abteilung</t>
  </si>
  <si>
    <t>Freitextfeld zur Kategorisierung der Aktivitäten</t>
  </si>
  <si>
    <r>
      <t>Sportart</t>
    </r>
    <r>
      <rPr>
        <b/>
        <sz val="10"/>
        <color rgb="FFFF0000"/>
        <rFont val="Tahoma"/>
        <family val="2"/>
      </rPr>
      <t>*</t>
    </r>
  </si>
  <si>
    <t>Auswahl DAV-Sportart bzw. Auswahl "keine Sportart", wenn für Veranstaltungstyp nicht zutreffend</t>
  </si>
  <si>
    <t>Alpinklettern</t>
  </si>
  <si>
    <r>
      <t>Anzahl gleicher Aktivitäten</t>
    </r>
    <r>
      <rPr>
        <b/>
        <sz val="10"/>
        <color rgb="FFFF0000"/>
        <rFont val="Tahoma"/>
        <family val="2"/>
      </rPr>
      <t>*</t>
    </r>
  </si>
  <si>
    <t>Häufigkeit der Durchführung  bei mehrfach stattfindenden Treffen, mindestens 1</t>
  </si>
  <si>
    <t>Anzahl</t>
  </si>
  <si>
    <r>
      <t>Datum der Aktivität - Jahr</t>
    </r>
    <r>
      <rPr>
        <b/>
        <sz val="10"/>
        <color rgb="FFFF0000"/>
        <rFont val="Tahoma"/>
        <family val="2"/>
      </rPr>
      <t>*</t>
    </r>
  </si>
  <si>
    <t>Startdatum der Aktivität, aus Dropdown auswählen</t>
  </si>
  <si>
    <t>Jahr</t>
  </si>
  <si>
    <r>
      <rPr>
        <b/>
        <sz val="10"/>
        <color rgb="FF000000"/>
        <rFont val="Tahoma"/>
        <family val="2"/>
      </rPr>
      <t>Datum der Aktivität - Monat</t>
    </r>
    <r>
      <rPr>
        <b/>
        <sz val="10"/>
        <color rgb="FFFF0000"/>
        <rFont val="Tahoma"/>
        <family val="2"/>
      </rPr>
      <t>*</t>
    </r>
  </si>
  <si>
    <t>MAI</t>
  </si>
  <si>
    <t>Monat</t>
  </si>
  <si>
    <r>
      <t>Datum der Aktivität - Tag</t>
    </r>
    <r>
      <rPr>
        <b/>
        <sz val="10"/>
        <color rgb="FFFF0000"/>
        <rFont val="Tahoma"/>
        <family val="2"/>
      </rPr>
      <t>*</t>
    </r>
  </si>
  <si>
    <t>Startdatum der Aktivität</t>
  </si>
  <si>
    <r>
      <t>Dauer in Tagen</t>
    </r>
    <r>
      <rPr>
        <b/>
        <sz val="10"/>
        <color rgb="FFFF0000"/>
        <rFont val="Tahoma"/>
        <family val="2"/>
      </rPr>
      <t>*</t>
    </r>
  </si>
  <si>
    <t>Dauer der Veranstaltung in 1/4 (z.B. 1-2h=0,25; ca. 3-6h=0,5; 6-24h=1 etc.) Tagen</t>
  </si>
  <si>
    <r>
      <t>Anzahl Teilnehmende</t>
    </r>
    <r>
      <rPr>
        <b/>
        <sz val="10"/>
        <color rgb="FFFF0000"/>
        <rFont val="Tahoma"/>
        <family val="2"/>
      </rPr>
      <t>*</t>
    </r>
  </si>
  <si>
    <t>Personen</t>
  </si>
  <si>
    <r>
      <t>Veranstaltungsort</t>
    </r>
    <r>
      <rPr>
        <b/>
        <sz val="10"/>
        <color theme="5"/>
        <rFont val="Tahoma"/>
        <family val="2"/>
      </rPr>
      <t>*</t>
    </r>
  </si>
  <si>
    <r>
      <t xml:space="preserve">Ort, an dem die Veranstaltungsaktivität stattfand. 
</t>
    </r>
    <r>
      <rPr>
        <sz val="8"/>
        <color theme="1"/>
        <rFont val="Tahoma"/>
        <family val="2"/>
      </rPr>
      <t>Achtung: Die Verwendung eines Apostrophs (') führt zu einer Beschädigung der Daten.</t>
    </r>
  </si>
  <si>
    <t>München</t>
  </si>
  <si>
    <t>Ort/Stadt</t>
  </si>
  <si>
    <r>
      <t>Land</t>
    </r>
    <r>
      <rPr>
        <b/>
        <sz val="10"/>
        <color theme="5"/>
        <rFont val="Tahoma"/>
        <family val="2"/>
      </rPr>
      <t>*</t>
    </r>
  </si>
  <si>
    <t>Land, in dem die Veranstaltungsaktivität stattfand</t>
  </si>
  <si>
    <t>Deutschland</t>
  </si>
  <si>
    <t>Land</t>
  </si>
  <si>
    <t>Meistbesuchtes Land? Ja=1</t>
  </si>
  <si>
    <t>keine Eingabe erforderlich</t>
  </si>
  <si>
    <t>Diese Zeile ist absichtlich ausgeblendet</t>
  </si>
  <si>
    <r>
      <t>Veranstaltungstyp</t>
    </r>
    <r>
      <rPr>
        <b/>
        <sz val="10"/>
        <color theme="5"/>
        <rFont val="Tahoma"/>
        <family val="2"/>
      </rPr>
      <t>*</t>
    </r>
  </si>
  <si>
    <t>Tour/Kurs</t>
  </si>
  <si>
    <t>An- und Abreise</t>
  </si>
  <si>
    <t>&lt;-- Für die komplexere (und genauere) Variante bitte aufklappen</t>
  </si>
  <si>
    <t>Diesel/Benzin/CNG&amp;LPG-PKW</t>
  </si>
  <si>
    <t>Fahrzeug mit Verbrennungsmotor (oder Plug-in Hybrid bei Langstrecken &gt;50km)</t>
  </si>
  <si>
    <t>Fz-km</t>
  </si>
  <si>
    <t>Elektro-PKW</t>
  </si>
  <si>
    <t>Elektroauto (oder Plug-in bei Kurzstrecken &lt;50 km)</t>
  </si>
  <si>
    <t>Van/Transporter</t>
  </si>
  <si>
    <t>Transporter, nicht im Besitz der Sektion</t>
  </si>
  <si>
    <t>Sektionsbus/Sektionsfahrzeug</t>
  </si>
  <si>
    <t>Sektionsbus oder Fahrzeug, im Besitz der Sektion</t>
  </si>
  <si>
    <t>Mitfahrende</t>
  </si>
  <si>
    <t>Anzahl der Personen, die bei jemanden mitfahren ohne Fahrer*in</t>
  </si>
  <si>
    <t>Fahrrad/zu Fuß</t>
  </si>
  <si>
    <t xml:space="preserve">Verkehrsteilnehmenden, ohne technisches Verkehrsmittel </t>
  </si>
  <si>
    <t>pkm</t>
  </si>
  <si>
    <t>ÖPNV</t>
  </si>
  <si>
    <t>Öffentlicher Personennahverkehr (z.B. Bus, Tram, U-Bahn)</t>
  </si>
  <si>
    <t>Regionalbahn/S-Bahn</t>
  </si>
  <si>
    <t>Regionalbahnen oder S-Bahnen</t>
  </si>
  <si>
    <t>Fernverkehr/ICE</t>
  </si>
  <si>
    <t>Länger Strecken mit Eisenbahn-Zügen</t>
  </si>
  <si>
    <t>Reisebus</t>
  </si>
  <si>
    <t>Bus mit &gt;8 Sitzplätzen</t>
  </si>
  <si>
    <t>Durchschnittliche Strecke (Hin- &amp; zurück)</t>
  </si>
  <si>
    <t>Gefahrene Route (Hin und zurück) durchschnittlich pro Person, geschätzt durch Veranstalter (z.B. Entfernung Sektionsort / Veranstaltungsort)</t>
  </si>
  <si>
    <t>Prozentsatz der Teilnehmenden (nur Fahrer*in)</t>
  </si>
  <si>
    <t>Prozentsatz der Teilnehmenden</t>
  </si>
  <si>
    <t>Prozentsatz der Teilnehmenden, Bus mit &gt;8 Sitzplätzen</t>
  </si>
  <si>
    <t>Flugreise</t>
  </si>
  <si>
    <t>Hinflug</t>
  </si>
  <si>
    <t xml:space="preserve">Anzahl Personen </t>
  </si>
  <si>
    <t>Anzahl Personen, die geflogen sind</t>
  </si>
  <si>
    <t>Person(en)</t>
  </si>
  <si>
    <t>Startflughafen</t>
  </si>
  <si>
    <t>Flughafencode (IATA) Startflughafen oder Stadt/Land</t>
  </si>
  <si>
    <t>BER</t>
  </si>
  <si>
    <t>Zielflughafen</t>
  </si>
  <si>
    <t>ZRH</t>
  </si>
  <si>
    <t>Kosten Hinflüge Gesamt</t>
  </si>
  <si>
    <t>Gesamtkosten für alle Hinflüge für die Veranstaltungsaktivität</t>
  </si>
  <si>
    <t>Euro</t>
  </si>
  <si>
    <t>Rückflug</t>
  </si>
  <si>
    <t>Kosten Rückflüge Gesamt</t>
  </si>
  <si>
    <t>Gesamtkosten für alle Rückflüge der Veranstaltungsaktivität</t>
  </si>
  <si>
    <t>Mobilität vor Ort</t>
  </si>
  <si>
    <t>Diesel/Benzin-PKW/CNG&amp;LPG-PKW</t>
  </si>
  <si>
    <t>Öffentlicher Personennahverkehr</t>
  </si>
  <si>
    <t>Lokales Bahnsystem am Zielort</t>
  </si>
  <si>
    <t>Bus mit &gt;8 Personen</t>
  </si>
  <si>
    <t>Gondel/Lift</t>
  </si>
  <si>
    <t>Anzahl Fahrten pro Veranstaltung, z.B. 10 Personen fahren 2 Gondelfahrten = 20 Fahrten</t>
  </si>
  <si>
    <t>Fahrten</t>
  </si>
  <si>
    <t>Öffi-Tour Ja/Nein</t>
  </si>
  <si>
    <t>Dieses Feld wird automatisch ausgefüllt. Wenn mehr als 70% der Reise mit öffentlichen Verkehrsmitteln erfolgt, handelt es sich um eine Öffi-Tour</t>
  </si>
  <si>
    <t>Dieses Feld wird automatisch ausgefüllt. Dies ist nur zur Information sichtbar.</t>
  </si>
  <si>
    <t>Übernachtung</t>
  </si>
  <si>
    <t>DAV Hütte</t>
  </si>
  <si>
    <t>Gesamtzahl der Übernachtungen, z. B.:
1 Person für eine Nacht = 1 Übernachtungt; 
2 Personen für 3 Nächte = 6 Übernachtungen</t>
  </si>
  <si>
    <t>Biwak/ Zelt</t>
  </si>
  <si>
    <t>Campingplatz</t>
  </si>
  <si>
    <t>Hotel (Einfach) 0-2*/ Ferienwohnung / Pension</t>
  </si>
  <si>
    <t>Hotel (Mittelklasse) 3-4*</t>
  </si>
  <si>
    <t>Hotel (Premium) 5*</t>
  </si>
  <si>
    <t>Verpflegung</t>
  </si>
  <si>
    <t>Zu erfassen, wenn von Sektion bezahlt bzw. zentral organisiert.</t>
  </si>
  <si>
    <t>Anzahl servierter Mahlzeiten</t>
  </si>
  <si>
    <t>Gesamtzahl Mahlzeiten (Beispiel: 10 Teilnehmende erhalten auf der 1-Tages-Tour ein Mittagessen und Abendessen = 20)</t>
  </si>
  <si>
    <t>Mahlzeiten</t>
  </si>
  <si>
    <t>Prozent vegane Mahlzeiten</t>
  </si>
  <si>
    <t>Nahrung ohne tierische Produkte</t>
  </si>
  <si>
    <t>Prozent vegetarische Mahlzeiten</t>
  </si>
  <si>
    <t>Nahrung ohne Fleisch und Fisch</t>
  </si>
  <si>
    <t>Prozent Mahlzeiten mit Fleisch/Mischkost</t>
  </si>
  <si>
    <t>Nahrung mit Fleisch (bei keiner Angabe wird 100% der Mahlzeiten mit Fleisch angenommen, bitte entsprechend manuell 100% eintragen)</t>
  </si>
  <si>
    <t>Veranstaltungsort</t>
  </si>
  <si>
    <t>DAV Besitz</t>
  </si>
  <si>
    <t>im Besitz des DAV (eigene Sektion, andere DAV-Sektionen oder Bundesverband) oder Nicht im Besitz des DAV</t>
  </si>
  <si>
    <t>Ja</t>
  </si>
  <si>
    <t>Naturraum/im freien ODER Außenanlage (z.B. Außenkletterturm) ODER Kletter-/Boulderhalle ODER Andere (z.B. Tagungsraum, Eventlocation)</t>
  </si>
  <si>
    <t>Naturraum</t>
  </si>
  <si>
    <t>Größe Tagungsraum (m2)</t>
  </si>
  <si>
    <r>
      <t>Größe der genutzten Gebäudefläche (</t>
    </r>
    <r>
      <rPr>
        <u/>
        <sz val="10"/>
        <color theme="1"/>
        <rFont val="Tahoma"/>
        <family val="2"/>
      </rPr>
      <t>nur</t>
    </r>
    <r>
      <rPr>
        <sz val="10"/>
        <color theme="1"/>
        <rFont val="Tahoma"/>
        <family val="2"/>
      </rPr>
      <t xml:space="preserve"> falls in einem Tagungsraum/Hotel)</t>
    </r>
  </si>
  <si>
    <t>m2</t>
  </si>
  <si>
    <t>Materialtransport (eingekaufte Diensleistung, z.B. durch Spedition)</t>
  </si>
  <si>
    <t>Transportmodus</t>
  </si>
  <si>
    <t>Verkehrsmittel, mit dem die Waren transportiert werden</t>
  </si>
  <si>
    <t>Straßenfracht</t>
  </si>
  <si>
    <t>Transportierte Materialien in kg</t>
  </si>
  <si>
    <t>kg</t>
  </si>
  <si>
    <t>Kosten</t>
  </si>
  <si>
    <t>Kosten für die Transport-Dienstleistung (falls keine anderen Daten verfügbar, Transportmodus benötigt)</t>
  </si>
  <si>
    <t>------ Legende -------</t>
  </si>
  <si>
    <t>----- Excel-Register -</t>
  </si>
  <si>
    <t>weiß</t>
  </si>
  <si>
    <t>Eingabefeld</t>
  </si>
  <si>
    <t>Anmeldeliste</t>
  </si>
  <si>
    <t>Planungsliste incl. CO2-Emissionen</t>
  </si>
  <si>
    <t>hellgelb</t>
  </si>
  <si>
    <t>Zwangs-Eingabefeld (Eingabe fehlt)</t>
  </si>
  <si>
    <t>EingabeMaske</t>
  </si>
  <si>
    <t>Code.Gaia CO2-Erfassung</t>
  </si>
  <si>
    <t>grau</t>
  </si>
  <si>
    <t>Formatfeld: möglichst nicht verändern</t>
  </si>
  <si>
    <t>Hilfeliste</t>
  </si>
  <si>
    <t>blaue Schrift</t>
  </si>
  <si>
    <t>autom. Formel: möglichst nicht verändern</t>
  </si>
  <si>
    <t>ET-PKW</t>
  </si>
  <si>
    <t>Abrechnung Tagesfahrt mit PPKW</t>
  </si>
  <si>
    <t>rot</t>
  </si>
  <si>
    <t>Achtung Problem</t>
  </si>
  <si>
    <t>ET-öff</t>
  </si>
  <si>
    <t>Abrechnung Tagesfahrt mitÖffis</t>
  </si>
  <si>
    <t>gelb</t>
  </si>
  <si>
    <t>Warnung, Hinweis</t>
  </si>
  <si>
    <t>MT-öff-Org</t>
  </si>
  <si>
    <t>Abrechnung Mehrtagesfahrt für Orga mit Öffis</t>
  </si>
  <si>
    <t>grün</t>
  </si>
  <si>
    <t>hervorgehoben</t>
  </si>
  <si>
    <t>MT-öff-Co-Org</t>
  </si>
  <si>
    <t>Abrechnung Mehrtagesfahrt für Co-Orga mit Öffis</t>
  </si>
  <si>
    <t>hellblau</t>
  </si>
  <si>
    <t>Link für Email-Versand</t>
  </si>
  <si>
    <t>MT-PKW-Org</t>
  </si>
  <si>
    <t>Abrechnung Mehrtagesfahrt für Orga mit PKW</t>
  </si>
  <si>
    <t>MT-PKW-Co-Org</t>
  </si>
  <si>
    <t>Abrechnung Mehrtagesfahrt für Co-Orga mit PKW</t>
  </si>
  <si>
    <t>zentrale Einstellungen für Überprüfungen</t>
  </si>
  <si>
    <t>Gruppen</t>
  </si>
  <si>
    <t>Gruppen-email</t>
  </si>
  <si>
    <t>Mitgliedschaft</t>
  </si>
  <si>
    <t>Essen -kg CO2</t>
  </si>
  <si>
    <t>Veranstaltungstyp</t>
  </si>
  <si>
    <t>Sportarten</t>
  </si>
  <si>
    <t>Transportmittel</t>
  </si>
  <si>
    <t>Trsp</t>
  </si>
  <si>
    <t>Trsp kg CO2</t>
  </si>
  <si>
    <t>Unt</t>
  </si>
  <si>
    <t>Unterkünfte</t>
  </si>
  <si>
    <t>Unterkünfte kg CO2</t>
  </si>
  <si>
    <t>Lift -kg CO2</t>
  </si>
  <si>
    <t>CO2</t>
  </si>
  <si>
    <t>€/t</t>
  </si>
  <si>
    <t>Transport</t>
  </si>
  <si>
    <t>Trsp -kg CO2 /l (kW, kg)</t>
  </si>
  <si>
    <t>Länder</t>
  </si>
  <si>
    <t>MonatNr</t>
  </si>
  <si>
    <t>Monate</t>
  </si>
  <si>
    <t>info@dav-altdorf.de</t>
  </si>
  <si>
    <t>Veranstaltung</t>
  </si>
  <si>
    <t>Hochtour</t>
  </si>
  <si>
    <t>PKW</t>
  </si>
  <si>
    <t>Biw</t>
  </si>
  <si>
    <t>Biwak</t>
  </si>
  <si>
    <t>Preis2023</t>
  </si>
  <si>
    <t>PKW-Diesel</t>
  </si>
  <si>
    <t>JAN</t>
  </si>
  <si>
    <t>Familiengruppe</t>
  </si>
  <si>
    <t>familien@dav-altdorf.de</t>
  </si>
  <si>
    <t>Gremiensitzung</t>
  </si>
  <si>
    <t>Strom</t>
  </si>
  <si>
    <t>Camp</t>
  </si>
  <si>
    <t>Camping</t>
  </si>
  <si>
    <t>Preis2025</t>
  </si>
  <si>
    <t>FEB</t>
  </si>
  <si>
    <t>Jugend I</t>
  </si>
  <si>
    <t>jugend1@dav-altdorf.de</t>
  </si>
  <si>
    <t>div</t>
  </si>
  <si>
    <t>Bergsteigen</t>
  </si>
  <si>
    <t>Van</t>
  </si>
  <si>
    <t>DAV</t>
  </si>
  <si>
    <t>Preis2030</t>
  </si>
  <si>
    <t>PKW-LPG</t>
  </si>
  <si>
    <t>Schweiz</t>
  </si>
  <si>
    <t>MRZ</t>
  </si>
  <si>
    <t>Jugend II</t>
  </si>
  <si>
    <t>jugend@dav-altdorf.de</t>
  </si>
  <si>
    <t>Gruppenausfahrt</t>
  </si>
  <si>
    <t>Leistungsbergsteigen</t>
  </si>
  <si>
    <t>Sekt</t>
  </si>
  <si>
    <t>Hüt</t>
  </si>
  <si>
    <t>PKW-CNG</t>
  </si>
  <si>
    <t>Italien</t>
  </si>
  <si>
    <t>APR</t>
  </si>
  <si>
    <t>Jungmannschaft</t>
  </si>
  <si>
    <t>jungmannschaft@dav-altdorf.de</t>
  </si>
  <si>
    <t>Gruppentreffen</t>
  </si>
  <si>
    <t>(Sport-)Klettern</t>
  </si>
  <si>
    <t>Hot2</t>
  </si>
  <si>
    <t>Frankreich</t>
  </si>
  <si>
    <t>Mitteldrittel</t>
  </si>
  <si>
    <t>mitteldrittel@dav-altdorf.de</t>
  </si>
  <si>
    <t>Rad</t>
  </si>
  <si>
    <t>Strom-Grau</t>
  </si>
  <si>
    <t>Slowenien</t>
  </si>
  <si>
    <t>JUN</t>
  </si>
  <si>
    <t>Bergradgruppe</t>
  </si>
  <si>
    <t>bergrad@dav-altdorf.de</t>
  </si>
  <si>
    <t>Höhlenklettern</t>
  </si>
  <si>
    <t>Hot5</t>
  </si>
  <si>
    <t>Spanien</t>
  </si>
  <si>
    <t>JUL</t>
  </si>
  <si>
    <t>Sportklettern</t>
  </si>
  <si>
    <t>sportklettern@dav-altdorf.de</t>
  </si>
  <si>
    <t>Klettersteig</t>
  </si>
  <si>
    <t>Van-Benzin</t>
  </si>
  <si>
    <t>Norwegen</t>
  </si>
  <si>
    <t>AUG</t>
  </si>
  <si>
    <t>Bergsteigergruppe</t>
  </si>
  <si>
    <t>bergsteiger@dav-altdorf.de</t>
  </si>
  <si>
    <t>Bouldern</t>
  </si>
  <si>
    <t>Fern</t>
  </si>
  <si>
    <t>Sekt-Bus</t>
  </si>
  <si>
    <t>Schweden</t>
  </si>
  <si>
    <t>SEP</t>
  </si>
  <si>
    <t>SkiBergsteiger</t>
  </si>
  <si>
    <t>skibergsteiger@dav-altdorf.de</t>
  </si>
  <si>
    <t>MTB</t>
  </si>
  <si>
    <t>Bus</t>
  </si>
  <si>
    <t>Dänemark</t>
  </si>
  <si>
    <t>OKT</t>
  </si>
  <si>
    <t>Senioren</t>
  </si>
  <si>
    <t>senioren@dav-altdorf.de</t>
  </si>
  <si>
    <t>Skitour</t>
  </si>
  <si>
    <t>Großbritannien</t>
  </si>
  <si>
    <t>NOV</t>
  </si>
  <si>
    <t>Skiabteilung</t>
  </si>
  <si>
    <t>skiabteilung@dav-altdorf.de</t>
  </si>
  <si>
    <t>Skilauf</t>
  </si>
  <si>
    <t>Polen</t>
  </si>
  <si>
    <t>DEZ</t>
  </si>
  <si>
    <t>SeniorenLeicht</t>
  </si>
  <si>
    <t>senioren-leicht@dav-altdorf.de</t>
  </si>
  <si>
    <t>Skilanglauf</t>
  </si>
  <si>
    <t>Belgien</t>
  </si>
  <si>
    <t>Naturschutz</t>
  </si>
  <si>
    <t>naturschutz@dav-altdorf.de</t>
  </si>
  <si>
    <t>Schneeschuhbergsteigen</t>
  </si>
  <si>
    <t>China</t>
  </si>
  <si>
    <t>Schatzmeisterin</t>
  </si>
  <si>
    <t>schatzmeister@dav-altdorf.de</t>
  </si>
  <si>
    <t>Freeride</t>
  </si>
  <si>
    <t>Finnland</t>
  </si>
  <si>
    <t>Segelfliegen/Paragleiten</t>
  </si>
  <si>
    <t>Griechenland</t>
  </si>
  <si>
    <t>Ski-/Konditionsgymnastik</t>
  </si>
  <si>
    <t>Kroatien</t>
  </si>
  <si>
    <t>Wildwasserkajak/Wassersportarten</t>
  </si>
  <si>
    <t>Niederland</t>
  </si>
  <si>
    <t>Sonstiges</t>
  </si>
  <si>
    <t>Peru</t>
  </si>
  <si>
    <t>Keine Sportart</t>
  </si>
  <si>
    <t>Portugal</t>
  </si>
  <si>
    <t>Tschechische Republik</t>
  </si>
  <si>
    <t>x</t>
  </si>
  <si>
    <t>Türkei</t>
  </si>
  <si>
    <t>USA</t>
  </si>
  <si>
    <t>Europa (Rest)</t>
  </si>
  <si>
    <t>Asien (Rest)</t>
  </si>
  <si>
    <t>Änderungshistorie</t>
  </si>
  <si>
    <t>Süd-/Zentralamerika (Rest)</t>
  </si>
  <si>
    <t>V 4/7/2022</t>
  </si>
  <si>
    <t>Jan</t>
  </si>
  <si>
    <t>Ampeln grün ab 100% statt 75%; Register farbig</t>
  </si>
  <si>
    <t>Naher Osten/Arabischer Golf (Rest)</t>
  </si>
  <si>
    <t>V 6/7/2022</t>
  </si>
  <si>
    <t>Anpassung nach Klimaschutztreffen: Unterkünfte niedriger bewertet (Annahmen); Hotels umbenannt; Emails verkürzt; default: fleisch</t>
  </si>
  <si>
    <t>Afrika (Rest)</t>
  </si>
  <si>
    <t>V 24/7/2022</t>
  </si>
  <si>
    <t>Optik Permanentbereich</t>
  </si>
  <si>
    <t>V 31/7/2022</t>
  </si>
  <si>
    <t>Anpassung Unterkünft nach HRS Greenstay</t>
  </si>
  <si>
    <t>V 1/8/2022</t>
  </si>
  <si>
    <t>Verknüpfungen entfernt (auf DAV-Erfassung)
RO-Link entfernt wg. Security Warnung in Linux/OpenOffice</t>
  </si>
  <si>
    <t>V 21/09/2022</t>
  </si>
  <si>
    <t>Email-Adresse Bergrad
IBAN Raiffeisen
Hotelwerte von DAV / Planetly</t>
  </si>
  <si>
    <t>V 29/10/2024</t>
  </si>
  <si>
    <t>Anpassung CodeGaia</t>
  </si>
  <si>
    <t>V 30/10/2024</t>
  </si>
  <si>
    <t>incl. Abrechnung, Doku, Email-Versand</t>
  </si>
  <si>
    <t>V 5/11/2024</t>
  </si>
  <si>
    <t>Tagestour ohne Ü, aber mit Essen</t>
  </si>
  <si>
    <t>Emissionsfaktoren von CodeGaia</t>
  </si>
  <si>
    <t xml:space="preserve">Abrechnung Tagesgemeinschaftsfahrt                  </t>
  </si>
  <si>
    <t xml:space="preserve">neuester 
Stand: </t>
  </si>
  <si>
    <t>Abrechnungsformular PKWundÖffi-Fahrten_Muster_mitFÜL (S-348-O-Sektionsteam).url</t>
  </si>
  <si>
    <t xml:space="preserve">mit Privat-PKW                </t>
  </si>
  <si>
    <t>alle grau hinterlegten Felder sind Eingabefelder</t>
  </si>
  <si>
    <t>Gruppe:</t>
  </si>
  <si>
    <t>Fahrtziel:</t>
  </si>
  <si>
    <t>Datum:</t>
  </si>
  <si>
    <t>Organisator der Fahrt:</t>
  </si>
  <si>
    <t>Teilnehmer (lt. beil. Teilnehmerliste):</t>
  </si>
  <si>
    <t>Mitglied</t>
  </si>
  <si>
    <t>Gast</t>
  </si>
  <si>
    <t>Anzahl Teilnehmer</t>
  </si>
  <si>
    <t>Kontierung</t>
  </si>
  <si>
    <t>Organisation der Fahrt</t>
  </si>
  <si>
    <t>Erwachsene</t>
  </si>
  <si>
    <t>Jugendliche / Kinder</t>
  </si>
  <si>
    <t>Teilnehmer insgesamt:</t>
  </si>
  <si>
    <t>Fahrkosten (nur eine der Spalten A, B oder C ausfüllen)</t>
  </si>
  <si>
    <t>Gesamt-km</t>
  </si>
  <si>
    <t>Anzahl Personen im PKW</t>
  </si>
  <si>
    <t>A</t>
  </si>
  <si>
    <t>B</t>
  </si>
  <si>
    <t>C</t>
  </si>
  <si>
    <r>
      <t xml:space="preserve">Abrechnung auf Basis von </t>
    </r>
    <r>
      <rPr>
        <sz val="8"/>
        <rFont val="Calibri"/>
        <family val="2"/>
      </rPr>
      <t>Ø</t>
    </r>
    <r>
      <rPr>
        <i/>
        <sz val="8"/>
        <rFont val="Arial"/>
        <family val="2"/>
      </rPr>
      <t>-Verbrauch</t>
    </r>
  </si>
  <si>
    <t>Abrechnung auf Basis von Belegen</t>
  </si>
  <si>
    <t>Mitfahrer bei einem anderen Teilnehmer</t>
  </si>
  <si>
    <t>Kraftstoffverbrauch (l / 100 km)</t>
  </si>
  <si>
    <t>Kraftstoffpreis (€ / l)</t>
  </si>
  <si>
    <t>Gesamtkraftstoffpreis (€)</t>
  </si>
  <si>
    <t>Parkgebühren (€)</t>
  </si>
  <si>
    <t>anteilige Fahrkosten</t>
  </si>
  <si>
    <t>Summe Fahrkosten</t>
  </si>
  <si>
    <t>Sonstige Kosten</t>
  </si>
  <si>
    <t>Verpflegungsmehraufwand</t>
  </si>
  <si>
    <t>a) spezifizieren</t>
  </si>
  <si>
    <t>b) spezifizieren</t>
  </si>
  <si>
    <t>Vorschuss /Anzahlungen</t>
  </si>
  <si>
    <t>Summe Ausgaben:</t>
  </si>
  <si>
    <t>Betrag überweisen an:</t>
  </si>
  <si>
    <t>IBAN:</t>
  </si>
  <si>
    <t>siehe SEPA-Mandat</t>
  </si>
  <si>
    <t xml:space="preserve">mit öffentlichen Verkehrsmitteln                  </t>
  </si>
  <si>
    <t xml:space="preserve">Gast </t>
  </si>
  <si>
    <t>Organisation der Fahrt + Helfer</t>
  </si>
  <si>
    <t>Information Zuschussregelung</t>
  </si>
  <si>
    <t>möglicher Zuschuss (€)</t>
  </si>
  <si>
    <t>Zuschuss Fahrtkosten bis 7 Pers.</t>
  </si>
  <si>
    <t>Zuschuss Fahrtkosten  8  - 12 Pers.</t>
  </si>
  <si>
    <t>Zuschuss Fahrtkosten 13  - 20 Pers.</t>
  </si>
  <si>
    <t>Mehr als 20 Teilnehmer</t>
  </si>
  <si>
    <t xml:space="preserve">für alle Gruppengrößen gilt:  </t>
  </si>
  <si>
    <r>
      <t xml:space="preserve">Der Zuschuss darf bei eintägigen Fahrten höchstens </t>
    </r>
    <r>
      <rPr>
        <b/>
        <sz val="9"/>
        <color indexed="8"/>
        <rFont val="Arial"/>
        <family val="2"/>
      </rPr>
      <t>50 %</t>
    </r>
    <r>
      <rPr>
        <sz val="9"/>
        <color indexed="8"/>
        <rFont val="Arial"/>
        <family val="2"/>
      </rPr>
      <t xml:space="preserve"> der gesamten Fahrtkosten betragen</t>
    </r>
  </si>
  <si>
    <t>maximal möglicher Zuschuss</t>
  </si>
  <si>
    <t xml:space="preserve">Ausgaben: </t>
  </si>
  <si>
    <t>Betrag</t>
  </si>
  <si>
    <t>Fahrtkosten Öffi`s Gruppe</t>
  </si>
  <si>
    <t>Fahrtkosten Öffi`s Organisator</t>
  </si>
  <si>
    <t>Pauschaler Verpflegungsmehraufwand</t>
  </si>
  <si>
    <t>Sonstiges (bitte spezifizieren)</t>
  </si>
  <si>
    <t>Zuschuss  öffentl. Verkehrsmittel</t>
  </si>
  <si>
    <t>wie SEPA-Mandat</t>
  </si>
  <si>
    <t>(Ort, Datum)</t>
  </si>
  <si>
    <t>(Unterschrift)</t>
  </si>
  <si>
    <t xml:space="preserve">Abrechnung Mehrtagesgemeinschaftsfahrt                  </t>
  </si>
  <si>
    <t>alle grau hinterlegten Felder müssen ausgefüllt werden</t>
  </si>
  <si>
    <t>von</t>
  </si>
  <si>
    <t>bis</t>
  </si>
  <si>
    <t>Tour-Nr.</t>
  </si>
  <si>
    <t>Anzahl der Tage</t>
  </si>
  <si>
    <t>Anzahl Übernacht.</t>
  </si>
  <si>
    <t>Anzahl der zuschussfähigen Tage</t>
  </si>
  <si>
    <t>€/Tag</t>
  </si>
  <si>
    <t>maximal</t>
  </si>
  <si>
    <t>Ausgaben: ( Belege beifügen)</t>
  </si>
  <si>
    <t>Fahrtkosten Organisator</t>
  </si>
  <si>
    <t>Anzahl der freien Übernachtungen für Organisator</t>
  </si>
  <si>
    <t>Nacht</t>
  </si>
  <si>
    <t>An- und Abreisetag</t>
  </si>
  <si>
    <t>Zwischentage</t>
  </si>
  <si>
    <t>Co-Organisator der Fahrt:</t>
  </si>
  <si>
    <t>Fahrkosten Helfer</t>
  </si>
  <si>
    <t>s. Org.</t>
  </si>
  <si>
    <t>Organisation der Fahrt + Co-Org.</t>
  </si>
  <si>
    <t>Fahrkosten (nur eine der Spalten A , B oder C ausfüllen)</t>
  </si>
  <si>
    <t>in einer Tabelle Werte eintragen</t>
  </si>
  <si>
    <t>Maut (€)</t>
  </si>
  <si>
    <t>Übernachtungsmehraufwand</t>
  </si>
  <si>
    <t>Übernachtungspauschale</t>
  </si>
  <si>
    <t xml:space="preserve">Verpflegungspauschale </t>
  </si>
  <si>
    <t>Sonstige Kosten (spezifizieren)</t>
  </si>
  <si>
    <t>bezahlte Teilnehmergebühren:</t>
  </si>
  <si>
    <t>König Alexander</t>
  </si>
  <si>
    <t>Kürschner Jan</t>
  </si>
  <si>
    <t>Schneppendahl Andreas</t>
  </si>
  <si>
    <t>Weichsel Johannes</t>
  </si>
  <si>
    <t>Wondratsch Kerstin</t>
  </si>
  <si>
    <t>Wondratsch Christian Organisator</t>
  </si>
  <si>
    <t>Abrechnung auf Basis von Ø-Verbrauch</t>
  </si>
  <si>
    <t>Anzahl der freien Übernachtungen für Co-Organisator</t>
  </si>
  <si>
    <t>s. Organisator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</si>
</sst>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#,##0\ &quot;€&quot;;\-#,##0\ &quot;€&quot;"/>
    <numFmt numFmtId="164" formatCode="#,##0.0"/>
    <numFmt numFmtId="165" formatCode="dd\.mm\.yyyy\ hh:mm:ss"/>
    <numFmt numFmtId="166" formatCode="[$-407]ddd"/>
    <numFmt numFmtId="167" formatCode="[$-407]dd"/>
    <numFmt numFmtId="168" formatCode="ddd\,\ d/mmm/yy"/>
    <numFmt numFmtId="169" formatCode="0.0"/>
    <numFmt numFmtId="170" formatCode="d/m/yy\ h:mm:ss;@"/>
    <numFmt numFmtId="171" formatCode="#,##0\ &quot;€&quot;"/>
    <numFmt numFmtId="172" formatCode="#,##0.00\ &quot;€&quot;"/>
  </numFmts>
  <fonts count="73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sz val="9"/>
      <color indexed="81"/>
      <name val="Segoe UI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8"/>
      <color rgb="FF0000FF"/>
      <name val="Arial"/>
      <family val="2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sz val="7"/>
      <color rgb="FF00000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rgb="FF0000FF"/>
      <name val="Arial"/>
      <family val="2"/>
    </font>
    <font>
      <b/>
      <sz val="8"/>
      <color rgb="FF0000FF"/>
      <name val="Arial"/>
      <family val="2"/>
    </font>
    <font>
      <b/>
      <sz val="18"/>
      <color rgb="FF0000FF"/>
      <name val="Arial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rgb="FFFF0000"/>
      <name val="Tahoma"/>
      <family val="2"/>
    </font>
    <font>
      <sz val="10"/>
      <name val="Tahoma"/>
      <family val="2"/>
    </font>
    <font>
      <b/>
      <sz val="10"/>
      <color rgb="FF09044A"/>
      <name val="Tahoma"/>
      <family val="2"/>
    </font>
    <font>
      <i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  <font>
      <sz val="10"/>
      <color rgb="FF09044A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b/>
      <sz val="10"/>
      <color rgb="FFC0000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b/>
      <sz val="10"/>
      <color theme="5"/>
      <name val="Tahoma"/>
      <family val="2"/>
    </font>
    <font>
      <sz val="10"/>
      <color theme="3"/>
      <name val="Tahoma"/>
      <family val="2"/>
    </font>
    <font>
      <b/>
      <sz val="10"/>
      <color rgb="FF000000"/>
      <name val="Tahoma"/>
      <family val="2"/>
    </font>
    <font>
      <sz val="10"/>
      <color rgb="FFFF0000"/>
      <name val="Tahoma"/>
      <family val="2"/>
    </font>
    <font>
      <sz val="8"/>
      <color theme="1"/>
      <name val="Tahoma"/>
      <family val="2"/>
    </font>
    <font>
      <sz val="9"/>
      <color theme="0"/>
      <name val="Tahoma"/>
      <family val="2"/>
    </font>
    <font>
      <u/>
      <sz val="10"/>
      <color theme="1"/>
      <name val="Tahoma"/>
      <family val="2"/>
    </font>
    <font>
      <i/>
      <sz val="10"/>
      <name val="Tahoma"/>
      <family val="2"/>
    </font>
    <font>
      <sz val="10"/>
      <color rgb="FF0000FF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 tint="0.499984740745262"/>
      <name val="Tahoma"/>
      <family val="2"/>
    </font>
    <font>
      <b/>
      <i/>
      <sz val="9"/>
      <color theme="0" tint="-0.499984740745262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i/>
      <sz val="8"/>
      <name val="Arial"/>
      <family val="2"/>
    </font>
    <font>
      <sz val="8"/>
      <name val="Calibri"/>
      <family val="2"/>
    </font>
    <font>
      <sz val="10"/>
      <color rgb="FFFF0000"/>
      <name val="Arial"/>
      <family val="2"/>
    </font>
    <font>
      <b/>
      <i/>
      <sz val="9"/>
      <color theme="0" tint="-0.34998626667073579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3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b/>
      <sz val="10"/>
      <color theme="1" tint="0.499984740745262"/>
      <name val="Tahoma"/>
      <family val="2"/>
    </font>
    <font>
      <sz val="10"/>
      <color theme="0"/>
      <name val="Arial"/>
      <family val="2"/>
    </font>
    <font>
      <sz val="10"/>
      <color theme="0" tint="-0.249977111117893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indexed="64"/>
      </patternFill>
    </fill>
    <fill>
      <patternFill patternType="solid">
        <fgColor rgb="FF5AB03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rgb="FFDDDDDD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theme="4" tint="0.59999389629810485"/>
        <bgColor rgb="FFF3F3F3"/>
      </patternFill>
    </fill>
    <fill>
      <patternFill patternType="solid">
        <fgColor rgb="FF1F4DA0"/>
        <bgColor rgb="FF5AB031"/>
      </patternFill>
    </fill>
    <fill>
      <patternFill patternType="solid">
        <fgColor theme="2" tint="-4.9989318521683403E-2"/>
        <bgColor rgb="FFF3F3F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rgb="FFF3F3F3"/>
      </patternFill>
    </fill>
    <fill>
      <patternFill patternType="solid">
        <fgColor theme="0" tint="-0.499984740745262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1F4DA0"/>
        <bgColor rgb="FF5AAA2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29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ashed">
        <color auto="1"/>
      </right>
      <top/>
      <bottom/>
      <diagonal/>
    </border>
    <border>
      <left style="hair">
        <color auto="1"/>
      </left>
      <right style="dashed">
        <color auto="1"/>
      </right>
      <top/>
      <bottom/>
      <diagonal/>
    </border>
    <border>
      <left style="hair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dashed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ashed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ashed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dashed">
        <color auto="1"/>
      </bottom>
      <diagonal/>
    </border>
    <border>
      <left/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DDDDDD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DDDDD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DDDDDD"/>
      </top>
      <bottom/>
      <diagonal/>
    </border>
    <border>
      <left style="dashed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dashed">
        <color auto="1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dashed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rgb="FFDDDDDD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2" tint="-0.14996795556505021"/>
      </left>
      <right style="thin">
        <color theme="2" tint="-0.14993743705557422"/>
      </right>
      <top/>
      <bottom/>
      <diagonal/>
    </border>
    <border>
      <left style="thin">
        <color theme="2" tint="-0.14996795556505021"/>
      </left>
      <right style="thin">
        <color theme="0" tint="-0.14999847407452621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theme="0" tint="-0.14999847407452621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theme="0" tint="-0.14999847407452621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DDDDDD"/>
      </bottom>
      <diagonal/>
    </border>
    <border>
      <left/>
      <right/>
      <top style="thin">
        <color theme="2" tint="-0.14996795556505021"/>
      </top>
      <bottom style="thin">
        <color theme="2" tint="-0.14996795556505021"/>
      </bottom>
      <diagonal/>
    </border>
    <border>
      <left style="thin">
        <color indexed="64"/>
      </left>
      <right/>
      <top style="thin">
        <color theme="2" tint="-0.14996795556505021"/>
      </top>
      <bottom style="thin">
        <color theme="2" tint="-0.14996795556505021"/>
      </bottom>
      <diagonal/>
    </border>
    <border>
      <left/>
      <right style="thin">
        <color theme="0" tint="-0.14999847407452621"/>
      </right>
      <top style="thin">
        <color theme="2" tint="-0.14996795556505021"/>
      </top>
      <bottom style="thin">
        <color theme="2" tint="-0.149967955565050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rgb="FFDDDDDD"/>
      </bottom>
      <diagonal/>
    </border>
    <border>
      <left/>
      <right style="thin">
        <color theme="0" tint="-0.14999847407452621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theme="0" tint="-0.14999847407452621"/>
      </right>
      <top style="thin">
        <color rgb="FFDDDDDD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2" tint="-0.249977111117893"/>
      </top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DDDDDD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/>
      <right style="thin">
        <color indexed="64"/>
      </right>
      <top style="thin">
        <color rgb="FFDDDDDD"/>
      </top>
      <bottom style="thin">
        <color indexed="64"/>
      </bottom>
      <diagonal/>
    </border>
    <border>
      <left/>
      <right/>
      <top style="thin">
        <color rgb="FFD9D9D9"/>
      </top>
      <bottom/>
      <diagonal/>
    </border>
    <border>
      <left/>
      <right style="thin">
        <color theme="0" tint="-0.14999847407452621"/>
      </right>
      <top/>
      <bottom style="thin">
        <color theme="2" tint="-0.249977111117893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theme="0" tint="-0.14999847407452621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 tint="-0.14999847407452621"/>
      </right>
      <top/>
      <bottom style="thin">
        <color theme="1"/>
      </bottom>
      <diagonal/>
    </border>
    <border>
      <left/>
      <right style="thin">
        <color theme="0" tint="-0.14999847407452621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theme="2" tint="-0.14996795556505021"/>
      </bottom>
      <diagonal/>
    </border>
    <border>
      <left style="thin">
        <color indexed="64"/>
      </left>
      <right/>
      <top style="thin">
        <color rgb="FFDDDDDD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rgb="FF000000"/>
      </top>
      <bottom style="thin">
        <color indexed="64"/>
      </bottom>
      <diagonal/>
    </border>
    <border>
      <left/>
      <right style="thin">
        <color theme="2" tint="-0.14996795556505021"/>
      </right>
      <top/>
      <bottom/>
      <diagonal/>
    </border>
    <border>
      <left/>
      <right style="thin">
        <color theme="2" tint="-0.14993743705557422"/>
      </right>
      <top style="thin">
        <color rgb="FF000000"/>
      </top>
      <bottom style="thin">
        <color rgb="FFDDDDDD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 style="thin">
        <color indexed="64"/>
      </left>
      <right/>
      <top style="thin">
        <color rgb="FF000000"/>
      </top>
      <bottom style="thin">
        <color rgb="FFDDDDDD"/>
      </bottom>
      <diagonal/>
    </border>
    <border>
      <left/>
      <right style="thin">
        <color theme="0" tint="-0.14999847407452621"/>
      </right>
      <top style="thin">
        <color rgb="FF000000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000000"/>
      </bottom>
      <diagonal/>
    </border>
    <border>
      <left style="thin">
        <color indexed="64"/>
      </left>
      <right/>
      <top style="thin">
        <color rgb="FFDDDDDD"/>
      </top>
      <bottom style="thin">
        <color rgb="FF000000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rgb="FF000000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rgb="FFDDDDDD"/>
      </bottom>
      <diagonal/>
    </border>
    <border>
      <left style="thin">
        <color indexed="64"/>
      </left>
      <right/>
      <top style="thin">
        <color rgb="FFDDDDDD"/>
      </top>
      <bottom style="thin">
        <color theme="2" tint="-0.249977111117893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 style="thin">
        <color theme="2" tint="-0.14996795556505021"/>
      </right>
      <top/>
      <bottom/>
      <diagonal/>
    </border>
    <border>
      <left style="thin">
        <color theme="2" tint="-0.14993743705557422"/>
      </left>
      <right style="thin">
        <color theme="2" tint="-0.14993743705557422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4" fillId="0" borderId="0"/>
    <xf numFmtId="0" fontId="19" fillId="0" borderId="0" applyNumberFormat="0" applyFill="0" applyBorder="0" applyAlignment="0" applyProtection="0"/>
  </cellStyleXfs>
  <cellXfs count="1329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7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1" fontId="5" fillId="8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7" borderId="11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6" borderId="11" xfId="0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wrapText="1"/>
    </xf>
    <xf numFmtId="0" fontId="0" fillId="8" borderId="0" xfId="0" applyFill="1" applyAlignment="1">
      <alignment wrapText="1"/>
    </xf>
    <xf numFmtId="0" fontId="0" fillId="8" borderId="12" xfId="0" applyFill="1" applyBorder="1" applyAlignment="1">
      <alignment wrapText="1"/>
    </xf>
    <xf numFmtId="0" fontId="5" fillId="8" borderId="0" xfId="0" applyFont="1" applyFill="1" applyAlignment="1">
      <alignment horizontal="center" vertical="center" wrapText="1"/>
    </xf>
    <xf numFmtId="0" fontId="0" fillId="8" borderId="17" xfId="0" applyFill="1" applyBorder="1" applyAlignment="1">
      <alignment wrapText="1"/>
    </xf>
    <xf numFmtId="0" fontId="0" fillId="8" borderId="18" xfId="0" applyFill="1" applyBorder="1" applyAlignment="1">
      <alignment wrapText="1"/>
    </xf>
    <xf numFmtId="0" fontId="0" fillId="8" borderId="25" xfId="0" applyFill="1" applyBorder="1" applyAlignment="1">
      <alignment wrapText="1"/>
    </xf>
    <xf numFmtId="0" fontId="0" fillId="8" borderId="19" xfId="0" applyFill="1" applyBorder="1" applyAlignment="1">
      <alignment wrapText="1"/>
    </xf>
    <xf numFmtId="1" fontId="5" fillId="8" borderId="47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1" fontId="5" fillId="8" borderId="55" xfId="0" applyNumberFormat="1" applyFont="1" applyFill="1" applyBorder="1" applyAlignment="1">
      <alignment horizontal="center" vertical="center"/>
    </xf>
    <xf numFmtId="0" fontId="0" fillId="6" borderId="53" xfId="0" applyFill="1" applyBorder="1" applyAlignment="1">
      <alignment vertical="center" wrapText="1"/>
    </xf>
    <xf numFmtId="0" fontId="0" fillId="6" borderId="57" xfId="0" applyFill="1" applyBorder="1" applyAlignment="1">
      <alignment vertical="center" wrapText="1"/>
    </xf>
    <xf numFmtId="0" fontId="0" fillId="7" borderId="57" xfId="0" applyFill="1" applyBorder="1" applyAlignment="1">
      <alignment vertical="center" wrapText="1"/>
    </xf>
    <xf numFmtId="0" fontId="0" fillId="7" borderId="53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6" fillId="0" borderId="80" xfId="0" applyFont="1" applyBorder="1" applyAlignment="1">
      <alignment readingOrder="1"/>
    </xf>
    <xf numFmtId="0" fontId="16" fillId="0" borderId="81" xfId="0" applyFont="1" applyBorder="1" applyAlignment="1">
      <alignment readingOrder="1"/>
    </xf>
    <xf numFmtId="0" fontId="1" fillId="0" borderId="83" xfId="0" applyFont="1" applyBorder="1" applyAlignment="1">
      <alignment wrapText="1"/>
    </xf>
    <xf numFmtId="0" fontId="5" fillId="0" borderId="83" xfId="0" applyFont="1" applyBorder="1"/>
    <xf numFmtId="0" fontId="1" fillId="0" borderId="86" xfId="0" applyFont="1" applyBorder="1" applyAlignment="1">
      <alignment wrapText="1"/>
    </xf>
    <xf numFmtId="0" fontId="5" fillId="8" borderId="0" xfId="0" applyFont="1" applyFill="1"/>
    <xf numFmtId="0" fontId="2" fillId="8" borderId="0" xfId="0" applyFont="1" applyFill="1"/>
    <xf numFmtId="0" fontId="1" fillId="0" borderId="87" xfId="0" applyFont="1" applyBorder="1" applyAlignment="1">
      <alignment wrapText="1"/>
    </xf>
    <xf numFmtId="0" fontId="1" fillId="0" borderId="84" xfId="0" applyFont="1" applyBorder="1" applyAlignment="1">
      <alignment wrapText="1"/>
    </xf>
    <xf numFmtId="0" fontId="1" fillId="0" borderId="80" xfId="0" applyFont="1" applyBorder="1" applyAlignment="1">
      <alignment wrapText="1"/>
    </xf>
    <xf numFmtId="0" fontId="1" fillId="0" borderId="81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6" fillId="16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wrapText="1"/>
    </xf>
    <xf numFmtId="167" fontId="5" fillId="2" borderId="7" xfId="0" applyNumberFormat="1" applyFont="1" applyFill="1" applyBorder="1" applyAlignment="1">
      <alignment horizontal="center" wrapText="1"/>
    </xf>
    <xf numFmtId="166" fontId="5" fillId="2" borderId="7" xfId="0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3" fillId="0" borderId="89" xfId="0" applyFont="1" applyBorder="1" applyAlignment="1">
      <alignment horizontal="center" wrapText="1"/>
    </xf>
    <xf numFmtId="0" fontId="3" fillId="0" borderId="90" xfId="0" applyFont="1" applyBorder="1" applyAlignment="1">
      <alignment horizontal="center" wrapText="1"/>
    </xf>
    <xf numFmtId="0" fontId="1" fillId="0" borderId="90" xfId="0" applyFont="1" applyBorder="1" applyAlignment="1">
      <alignment horizontal="center" wrapText="1"/>
    </xf>
    <xf numFmtId="0" fontId="5" fillId="4" borderId="90" xfId="0" applyFont="1" applyFill="1" applyBorder="1" applyAlignment="1">
      <alignment horizontal="center" wrapText="1"/>
    </xf>
    <xf numFmtId="0" fontId="5" fillId="9" borderId="1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92" xfId="0" applyFont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92" xfId="0" applyFont="1" applyFill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90" xfId="0" applyFont="1" applyBorder="1" applyAlignment="1">
      <alignment horizontal="center" wrapText="1"/>
    </xf>
    <xf numFmtId="0" fontId="6" fillId="16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wrapText="1"/>
    </xf>
    <xf numFmtId="167" fontId="5" fillId="2" borderId="11" xfId="0" applyNumberFormat="1" applyFont="1" applyFill="1" applyBorder="1" applyAlignment="1">
      <alignment horizontal="center" wrapText="1"/>
    </xf>
    <xf numFmtId="166" fontId="5" fillId="2" borderId="11" xfId="0" applyNumberFormat="1" applyFont="1" applyFill="1" applyBorder="1" applyAlignment="1">
      <alignment horizontal="center" wrapText="1"/>
    </xf>
    <xf numFmtId="0" fontId="6" fillId="16" borderId="89" xfId="0" applyFont="1" applyFill="1" applyBorder="1" applyAlignment="1">
      <alignment horizontal="center" vertical="top" wrapText="1"/>
    </xf>
    <xf numFmtId="0" fontId="6" fillId="16" borderId="90" xfId="0" applyFont="1" applyFill="1" applyBorder="1" applyAlignment="1">
      <alignment horizontal="center" vertical="top" wrapText="1"/>
    </xf>
    <xf numFmtId="0" fontId="5" fillId="2" borderId="90" xfId="0" applyFont="1" applyFill="1" applyBorder="1" applyAlignment="1">
      <alignment horizontal="center" wrapText="1"/>
    </xf>
    <xf numFmtId="167" fontId="5" fillId="2" borderId="90" xfId="0" applyNumberFormat="1" applyFont="1" applyFill="1" applyBorder="1" applyAlignment="1">
      <alignment horizontal="center" wrapText="1"/>
    </xf>
    <xf numFmtId="166" fontId="5" fillId="2" borderId="90" xfId="0" applyNumberFormat="1" applyFont="1" applyFill="1" applyBorder="1" applyAlignment="1">
      <alignment horizontal="center" wrapText="1"/>
    </xf>
    <xf numFmtId="0" fontId="1" fillId="2" borderId="90" xfId="0" applyFont="1" applyFill="1" applyBorder="1" applyAlignment="1">
      <alignment horizontal="center" wrapText="1"/>
    </xf>
    <xf numFmtId="0" fontId="7" fillId="2" borderId="94" xfId="0" applyFont="1" applyFill="1" applyBorder="1" applyAlignment="1">
      <alignment horizontal="center"/>
    </xf>
    <xf numFmtId="0" fontId="0" fillId="22" borderId="18" xfId="0" applyFill="1" applyBorder="1" applyAlignment="1">
      <alignment wrapText="1"/>
    </xf>
    <xf numFmtId="0" fontId="0" fillId="22" borderId="28" xfId="0" applyFill="1" applyBorder="1" applyAlignment="1">
      <alignment wrapText="1"/>
    </xf>
    <xf numFmtId="0" fontId="0" fillId="22" borderId="17" xfId="0" applyFill="1" applyBorder="1" applyAlignment="1">
      <alignment wrapText="1"/>
    </xf>
    <xf numFmtId="0" fontId="1" fillId="22" borderId="30" xfId="0" applyFont="1" applyFill="1" applyBorder="1" applyAlignment="1">
      <alignment horizontal="left" wrapText="1"/>
    </xf>
    <xf numFmtId="0" fontId="11" fillId="22" borderId="30" xfId="0" applyFont="1" applyFill="1" applyBorder="1" applyAlignment="1">
      <alignment horizontal="left" wrapText="1"/>
    </xf>
    <xf numFmtId="0" fontId="5" fillId="22" borderId="18" xfId="0" applyFont="1" applyFill="1" applyBorder="1" applyAlignment="1">
      <alignment horizontal="center" wrapText="1"/>
    </xf>
    <xf numFmtId="0" fontId="5" fillId="22" borderId="25" xfId="0" applyFont="1" applyFill="1" applyBorder="1" applyAlignment="1">
      <alignment horizontal="center" wrapText="1"/>
    </xf>
    <xf numFmtId="0" fontId="5" fillId="22" borderId="17" xfId="0" applyFont="1" applyFill="1" applyBorder="1" applyAlignment="1">
      <alignment horizontal="center" wrapText="1"/>
    </xf>
    <xf numFmtId="0" fontId="5" fillId="22" borderId="18" xfId="0" applyFont="1" applyFill="1" applyBorder="1" applyAlignment="1">
      <alignment horizontal="center"/>
    </xf>
    <xf numFmtId="0" fontId="5" fillId="22" borderId="25" xfId="0" applyFont="1" applyFill="1" applyBorder="1" applyAlignment="1">
      <alignment horizontal="center"/>
    </xf>
    <xf numFmtId="0" fontId="5" fillId="22" borderId="17" xfId="0" applyFont="1" applyFill="1" applyBorder="1" applyAlignment="1">
      <alignment horizontal="center"/>
    </xf>
    <xf numFmtId="0" fontId="3" fillId="23" borderId="5" xfId="0" applyFont="1" applyFill="1" applyBorder="1" applyAlignment="1">
      <alignment horizontal="center" wrapText="1"/>
    </xf>
    <xf numFmtId="0" fontId="3" fillId="23" borderId="7" xfId="0" applyFont="1" applyFill="1" applyBorder="1" applyAlignment="1">
      <alignment horizontal="center" wrapText="1"/>
    </xf>
    <xf numFmtId="0" fontId="3" fillId="23" borderId="14" xfId="0" applyFont="1" applyFill="1" applyBorder="1" applyAlignment="1">
      <alignment horizontal="center" wrapText="1"/>
    </xf>
    <xf numFmtId="0" fontId="3" fillId="23" borderId="15" xfId="0" applyFont="1" applyFill="1" applyBorder="1" applyAlignment="1">
      <alignment horizontal="center" wrapText="1"/>
    </xf>
    <xf numFmtId="0" fontId="5" fillId="23" borderId="7" xfId="0" applyFont="1" applyFill="1" applyBorder="1" applyAlignment="1">
      <alignment horizontal="center" wrapText="1"/>
    </xf>
    <xf numFmtId="0" fontId="1" fillId="23" borderId="15" xfId="0" applyFont="1" applyFill="1" applyBorder="1" applyAlignment="1">
      <alignment horizontal="center" wrapText="1"/>
    </xf>
    <xf numFmtId="0" fontId="5" fillId="23" borderId="0" xfId="0" applyFont="1" applyFill="1" applyAlignment="1">
      <alignment horizontal="center" vertical="center" wrapText="1"/>
    </xf>
    <xf numFmtId="0" fontId="5" fillId="23" borderId="24" xfId="0" applyFont="1" applyFill="1" applyBorder="1" applyAlignment="1">
      <alignment horizontal="center" vertical="center" wrapText="1"/>
    </xf>
    <xf numFmtId="0" fontId="0" fillId="23" borderId="17" xfId="0" applyFill="1" applyBorder="1" applyAlignment="1">
      <alignment horizontal="right" wrapText="1"/>
    </xf>
    <xf numFmtId="0" fontId="0" fillId="23" borderId="0" xfId="0" applyFill="1" applyAlignment="1">
      <alignment horizontal="center" wrapText="1"/>
    </xf>
    <xf numFmtId="0" fontId="0" fillId="23" borderId="17" xfId="0" applyFill="1" applyBorder="1" applyAlignment="1">
      <alignment horizontal="center" wrapText="1"/>
    </xf>
    <xf numFmtId="0" fontId="0" fillId="23" borderId="25" xfId="0" applyFill="1" applyBorder="1" applyAlignment="1">
      <alignment horizontal="center" wrapText="1"/>
    </xf>
    <xf numFmtId="0" fontId="0" fillId="23" borderId="13" xfId="0" applyFill="1" applyBorder="1" applyAlignment="1">
      <alignment wrapText="1"/>
    </xf>
    <xf numFmtId="0" fontId="3" fillId="10" borderId="1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0" fontId="3" fillId="22" borderId="30" xfId="0" applyFont="1" applyFill="1" applyBorder="1" applyAlignment="1">
      <alignment horizontal="left" wrapText="1"/>
    </xf>
    <xf numFmtId="0" fontId="3" fillId="22" borderId="101" xfId="0" applyFont="1" applyFill="1" applyBorder="1" applyAlignment="1">
      <alignment horizontal="center" wrapText="1"/>
    </xf>
    <xf numFmtId="0" fontId="3" fillId="22" borderId="102" xfId="0" applyFont="1" applyFill="1" applyBorder="1" applyAlignment="1">
      <alignment horizontal="center" wrapText="1"/>
    </xf>
    <xf numFmtId="1" fontId="5" fillId="22" borderId="102" xfId="0" applyNumberFormat="1" applyFont="1" applyFill="1" applyBorder="1" applyAlignment="1">
      <alignment horizontal="center" vertical="center"/>
    </xf>
    <xf numFmtId="1" fontId="5" fillId="22" borderId="104" xfId="0" applyNumberFormat="1" applyFont="1" applyFill="1" applyBorder="1" applyAlignment="1">
      <alignment horizontal="center" vertical="center"/>
    </xf>
    <xf numFmtId="1" fontId="5" fillId="22" borderId="105" xfId="0" applyNumberFormat="1" applyFont="1" applyFill="1" applyBorder="1" applyAlignment="1">
      <alignment horizontal="center" vertical="center"/>
    </xf>
    <xf numFmtId="0" fontId="0" fillId="23" borderId="103" xfId="0" applyFill="1" applyBorder="1" applyAlignment="1">
      <alignment wrapText="1"/>
    </xf>
    <xf numFmtId="0" fontId="0" fillId="0" borderId="103" xfId="0" applyBorder="1" applyAlignment="1">
      <alignment wrapText="1"/>
    </xf>
    <xf numFmtId="0" fontId="0" fillId="23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6" fillId="16" borderId="8" xfId="0" applyFont="1" applyFill="1" applyBorder="1" applyAlignment="1">
      <alignment horizontal="center" vertical="top" wrapText="1"/>
    </xf>
    <xf numFmtId="0" fontId="6" fillId="16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wrapText="1"/>
    </xf>
    <xf numFmtId="167" fontId="5" fillId="2" borderId="9" xfId="0" applyNumberFormat="1" applyFont="1" applyFill="1" applyBorder="1" applyAlignment="1">
      <alignment horizontal="center" wrapText="1"/>
    </xf>
    <xf numFmtId="166" fontId="5" fillId="2" borderId="9" xfId="0" applyNumberFormat="1" applyFont="1" applyFill="1" applyBorder="1" applyAlignment="1">
      <alignment horizontal="center" wrapText="1"/>
    </xf>
    <xf numFmtId="0" fontId="2" fillId="22" borderId="107" xfId="0" applyFont="1" applyFill="1" applyBorder="1" applyAlignment="1">
      <alignment horizontal="left"/>
    </xf>
    <xf numFmtId="0" fontId="5" fillId="22" borderId="107" xfId="0" applyFont="1" applyFill="1" applyBorder="1" applyAlignment="1">
      <alignment horizontal="center" wrapText="1"/>
    </xf>
    <xf numFmtId="0" fontId="5" fillId="22" borderId="107" xfId="0" applyFont="1" applyFill="1" applyBorder="1" applyAlignment="1">
      <alignment horizontal="center"/>
    </xf>
    <xf numFmtId="0" fontId="0" fillId="23" borderId="103" xfId="0" applyFill="1" applyBorder="1" applyAlignment="1">
      <alignment horizontal="center" wrapText="1"/>
    </xf>
    <xf numFmtId="0" fontId="0" fillId="0" borderId="103" xfId="0" applyBorder="1" applyAlignment="1">
      <alignment horizontal="center" wrapText="1"/>
    </xf>
    <xf numFmtId="0" fontId="1" fillId="2" borderId="101" xfId="0" applyFont="1" applyFill="1" applyBorder="1" applyAlignment="1">
      <alignment horizontal="right" wrapText="1"/>
    </xf>
    <xf numFmtId="0" fontId="1" fillId="2" borderId="102" xfId="0" applyFont="1" applyFill="1" applyBorder="1" applyAlignment="1">
      <alignment horizontal="right" wrapText="1"/>
    </xf>
    <xf numFmtId="0" fontId="0" fillId="8" borderId="111" xfId="0" applyFill="1" applyBorder="1" applyAlignment="1">
      <alignment wrapText="1"/>
    </xf>
    <xf numFmtId="0" fontId="0" fillId="0" borderId="111" xfId="0" applyBorder="1" applyAlignment="1">
      <alignment wrapText="1"/>
    </xf>
    <xf numFmtId="0" fontId="5" fillId="24" borderId="44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left" vertical="center"/>
    </xf>
    <xf numFmtId="49" fontId="1" fillId="8" borderId="20" xfId="0" applyNumberFormat="1" applyFont="1" applyFill="1" applyBorder="1" applyAlignment="1">
      <alignment horizontal="left" vertical="center"/>
    </xf>
    <xf numFmtId="0" fontId="3" fillId="8" borderId="20" xfId="0" applyFont="1" applyFill="1" applyBorder="1" applyAlignment="1">
      <alignment vertical="center"/>
    </xf>
    <xf numFmtId="0" fontId="3" fillId="8" borderId="61" xfId="0" applyFont="1" applyFill="1" applyBorder="1" applyAlignment="1">
      <alignment horizontal="left" vertical="center" wrapText="1"/>
    </xf>
    <xf numFmtId="0" fontId="1" fillId="23" borderId="20" xfId="0" applyFont="1" applyFill="1" applyBorder="1" applyAlignment="1">
      <alignment horizontal="center" vertical="center"/>
    </xf>
    <xf numFmtId="0" fontId="1" fillId="23" borderId="29" xfId="0" applyFont="1" applyFill="1" applyBorder="1" applyAlignment="1">
      <alignment horizontal="center" vertical="center"/>
    </xf>
    <xf numFmtId="0" fontId="1" fillId="23" borderId="16" xfId="0" applyFont="1" applyFill="1" applyBorder="1" applyAlignment="1">
      <alignment horizontal="center" vertical="center"/>
    </xf>
    <xf numFmtId="0" fontId="3" fillId="23" borderId="20" xfId="0" applyFont="1" applyFill="1" applyBorder="1" applyAlignment="1">
      <alignment horizontal="left" vertical="center"/>
    </xf>
    <xf numFmtId="0" fontId="3" fillId="23" borderId="63" xfId="0" applyFont="1" applyFill="1" applyBorder="1" applyAlignment="1">
      <alignment horizontal="left" vertical="center" wrapText="1"/>
    </xf>
    <xf numFmtId="1" fontId="1" fillId="23" borderId="108" xfId="0" applyNumberFormat="1" applyFont="1" applyFill="1" applyBorder="1" applyAlignment="1">
      <alignment horizontal="center" vertical="center"/>
    </xf>
    <xf numFmtId="1" fontId="1" fillId="23" borderId="20" xfId="0" applyNumberFormat="1" applyFont="1" applyFill="1" applyBorder="1" applyAlignment="1">
      <alignment horizontal="center" vertical="center"/>
    </xf>
    <xf numFmtId="1" fontId="1" fillId="23" borderId="29" xfId="0" applyNumberFormat="1" applyFont="1" applyFill="1" applyBorder="1" applyAlignment="1">
      <alignment horizontal="center" vertical="center"/>
    </xf>
    <xf numFmtId="0" fontId="1" fillId="23" borderId="16" xfId="0" applyFont="1" applyFill="1" applyBorder="1" applyAlignment="1">
      <alignment horizontal="center" vertical="center" wrapText="1"/>
    </xf>
    <xf numFmtId="0" fontId="1" fillId="23" borderId="20" xfId="0" applyFont="1" applyFill="1" applyBorder="1" applyAlignment="1">
      <alignment horizontal="center" vertical="center" wrapText="1"/>
    </xf>
    <xf numFmtId="0" fontId="3" fillId="23" borderId="31" xfId="0" applyFont="1" applyFill="1" applyBorder="1" applyAlignment="1">
      <alignment horizontal="left" vertical="center" wrapText="1"/>
    </xf>
    <xf numFmtId="0" fontId="1" fillId="8" borderId="20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5" fontId="1" fillId="8" borderId="62" xfId="0" applyNumberFormat="1" applyFont="1" applyFill="1" applyBorder="1" applyAlignment="1">
      <alignment horizontal="right" vertical="center" wrapText="1"/>
    </xf>
    <xf numFmtId="0" fontId="3" fillId="8" borderId="116" xfId="0" applyFont="1" applyFill="1" applyBorder="1" applyAlignment="1">
      <alignment horizontal="left" vertical="center" wrapText="1"/>
    </xf>
    <xf numFmtId="0" fontId="3" fillId="8" borderId="99" xfId="0" applyFont="1" applyFill="1" applyBorder="1" applyAlignment="1">
      <alignment horizontal="right" vertical="center" wrapText="1"/>
    </xf>
    <xf numFmtId="0" fontId="3" fillId="8" borderId="16" xfId="0" applyFont="1" applyFill="1" applyBorder="1" applyAlignment="1">
      <alignment horizontal="right" vertical="center" wrapText="1"/>
    </xf>
    <xf numFmtId="0" fontId="3" fillId="8" borderId="61" xfId="0" applyFont="1" applyFill="1" applyBorder="1" applyAlignment="1">
      <alignment horizontal="right" vertical="center" wrapText="1"/>
    </xf>
    <xf numFmtId="0" fontId="3" fillId="8" borderId="29" xfId="0" applyFont="1" applyFill="1" applyBorder="1" applyAlignment="1">
      <alignment horizontal="right" vertical="center" wrapText="1"/>
    </xf>
    <xf numFmtId="0" fontId="3" fillId="8" borderId="63" xfId="0" applyFont="1" applyFill="1" applyBorder="1" applyAlignment="1">
      <alignment horizontal="right" vertical="center" wrapText="1"/>
    </xf>
    <xf numFmtId="0" fontId="3" fillId="8" borderId="2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88" xfId="0" applyFont="1" applyFill="1" applyBorder="1" applyAlignment="1">
      <alignment horizontal="left" vertical="center" wrapText="1"/>
    </xf>
    <xf numFmtId="0" fontId="17" fillId="2" borderId="123" xfId="0" applyFont="1" applyFill="1" applyBorder="1" applyAlignment="1">
      <alignment horizontal="center" vertical="center" wrapText="1"/>
    </xf>
    <xf numFmtId="169" fontId="7" fillId="14" borderId="122" xfId="0" applyNumberFormat="1" applyFont="1" applyFill="1" applyBorder="1" applyAlignment="1">
      <alignment horizontal="center" vertical="center"/>
    </xf>
    <xf numFmtId="0" fontId="17" fillId="2" borderId="123" xfId="0" applyFont="1" applyFill="1" applyBorder="1" applyAlignment="1">
      <alignment vertical="center" wrapText="1"/>
    </xf>
    <xf numFmtId="0" fontId="17" fillId="2" borderId="124" xfId="0" applyFont="1" applyFill="1" applyBorder="1" applyAlignment="1">
      <alignment vertical="center" wrapText="1"/>
    </xf>
    <xf numFmtId="0" fontId="1" fillId="12" borderId="126" xfId="0" applyFont="1" applyFill="1" applyBorder="1" applyAlignment="1">
      <alignment horizontal="right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0" borderId="129" xfId="0" applyFont="1" applyBorder="1" applyAlignment="1">
      <alignment wrapText="1"/>
    </xf>
    <xf numFmtId="0" fontId="1" fillId="0" borderId="130" xfId="0" applyFont="1" applyBorder="1" applyAlignment="1">
      <alignment wrapText="1"/>
    </xf>
    <xf numFmtId="0" fontId="16" fillId="0" borderId="83" xfId="0" applyFont="1" applyBorder="1" applyAlignment="1">
      <alignment readingOrder="1"/>
    </xf>
    <xf numFmtId="0" fontId="16" fillId="0" borderId="84" xfId="0" applyFont="1" applyBorder="1" applyAlignment="1">
      <alignment readingOrder="1"/>
    </xf>
    <xf numFmtId="0" fontId="16" fillId="0" borderId="129" xfId="0" applyFont="1" applyBorder="1" applyAlignment="1">
      <alignment readingOrder="1"/>
    </xf>
    <xf numFmtId="0" fontId="16" fillId="0" borderId="130" xfId="0" applyFont="1" applyBorder="1" applyAlignment="1">
      <alignment readingOrder="1"/>
    </xf>
    <xf numFmtId="0" fontId="1" fillId="0" borderId="80" xfId="0" applyFont="1" applyBorder="1" applyAlignment="1">
      <alignment horizontal="center" wrapText="1"/>
    </xf>
    <xf numFmtId="170" fontId="5" fillId="8" borderId="20" xfId="0" applyNumberFormat="1" applyFont="1" applyFill="1" applyBorder="1" applyAlignment="1">
      <alignment horizontal="left" vertical="center"/>
    </xf>
    <xf numFmtId="0" fontId="19" fillId="0" borderId="80" xfId="1" applyBorder="1" applyAlignment="1">
      <alignment wrapText="1"/>
    </xf>
    <xf numFmtId="0" fontId="3" fillId="2" borderId="133" xfId="0" applyFont="1" applyFill="1" applyBorder="1" applyAlignment="1">
      <alignment horizontal="left" vertical="center" wrapText="1"/>
    </xf>
    <xf numFmtId="0" fontId="0" fillId="0" borderId="118" xfId="0" applyBorder="1" applyAlignment="1">
      <alignment wrapText="1"/>
    </xf>
    <xf numFmtId="0" fontId="19" fillId="0" borderId="0" xfId="1" applyAlignment="1">
      <alignment vertical="center" wrapText="1"/>
    </xf>
    <xf numFmtId="0" fontId="2" fillId="0" borderId="119" xfId="0" applyFont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168" fontId="2" fillId="1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12" borderId="11" xfId="0" applyFont="1" applyFill="1" applyBorder="1" applyAlignment="1" applyProtection="1">
      <alignment horizontal="center" vertical="center" wrapText="1"/>
      <protection locked="0"/>
    </xf>
    <xf numFmtId="3" fontId="1" fillId="12" borderId="122" xfId="0" applyNumberFormat="1" applyFont="1" applyFill="1" applyBorder="1" applyAlignment="1" applyProtection="1">
      <alignment horizontal="center" vertical="center" wrapText="1"/>
      <protection locked="0"/>
    </xf>
    <xf numFmtId="3" fontId="1" fillId="12" borderId="125" xfId="0" applyNumberFormat="1" applyFont="1" applyFill="1" applyBorder="1" applyAlignment="1" applyProtection="1">
      <alignment horizontal="center" vertical="center" wrapText="1"/>
      <protection locked="0"/>
    </xf>
    <xf numFmtId="0" fontId="4" fillId="12" borderId="127" xfId="1" applyFont="1" applyFill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1" fillId="7" borderId="7" xfId="0" applyFont="1" applyFill="1" applyBorder="1" applyAlignment="1" applyProtection="1">
      <alignment horizontal="left" vertical="center"/>
      <protection locked="0"/>
    </xf>
    <xf numFmtId="0" fontId="3" fillId="7" borderId="7" xfId="0" applyFont="1" applyFill="1" applyBorder="1" applyAlignment="1" applyProtection="1">
      <alignment vertical="center"/>
      <protection locked="0"/>
    </xf>
    <xf numFmtId="0" fontId="3" fillId="7" borderId="9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" fillId="6" borderId="53" xfId="0" applyFont="1" applyFill="1" applyBorder="1" applyAlignment="1" applyProtection="1">
      <alignment horizontal="left" vertical="center"/>
      <protection locked="0"/>
    </xf>
    <xf numFmtId="0" fontId="3" fillId="6" borderId="53" xfId="0" applyFont="1" applyFill="1" applyBorder="1" applyAlignment="1" applyProtection="1">
      <alignment vertical="center" wrapText="1"/>
      <protection locked="0"/>
    </xf>
    <xf numFmtId="0" fontId="3" fillId="6" borderId="54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vertical="center" wrapText="1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/>
      <protection locked="0"/>
    </xf>
    <xf numFmtId="0" fontId="3" fillId="6" borderId="7" xfId="0" applyFont="1" applyFill="1" applyBorder="1" applyAlignment="1" applyProtection="1">
      <alignment vertical="center"/>
      <protection locked="0"/>
    </xf>
    <xf numFmtId="0" fontId="4" fillId="6" borderId="9" xfId="0" applyFont="1" applyFill="1" applyBorder="1" applyAlignment="1" applyProtection="1">
      <alignment vertical="center" wrapText="1"/>
      <protection locked="0"/>
    </xf>
    <xf numFmtId="0" fontId="4" fillId="7" borderId="53" xfId="0" applyFont="1" applyFill="1" applyBorder="1" applyAlignment="1" applyProtection="1">
      <alignment vertical="center" wrapText="1"/>
      <protection locked="0"/>
    </xf>
    <xf numFmtId="0" fontId="6" fillId="7" borderId="53" xfId="0" applyFont="1" applyFill="1" applyBorder="1" applyAlignment="1" applyProtection="1">
      <alignment vertical="center" wrapText="1"/>
      <protection locked="0"/>
    </xf>
    <xf numFmtId="0" fontId="6" fillId="7" borderId="54" xfId="0" applyFont="1" applyFill="1" applyBorder="1" applyAlignment="1" applyProtection="1">
      <alignment vertical="center" wrapText="1"/>
      <protection locked="0"/>
    </xf>
    <xf numFmtId="0" fontId="6" fillId="6" borderId="7" xfId="0" applyFont="1" applyFill="1" applyBorder="1" applyAlignment="1" applyProtection="1">
      <alignment vertical="center" wrapText="1"/>
      <protection locked="0"/>
    </xf>
    <xf numFmtId="0" fontId="3" fillId="6" borderId="9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6" fillId="6" borderId="53" xfId="0" applyFont="1" applyFill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3" fillId="6" borderId="53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112" xfId="0" applyFont="1" applyBorder="1" applyAlignment="1" applyProtection="1">
      <alignment horizontal="left" vertical="center" wrapText="1"/>
      <protection locked="0"/>
    </xf>
    <xf numFmtId="0" fontId="3" fillId="0" borderId="95" xfId="0" applyFont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0" fontId="3" fillId="0" borderId="26" xfId="0" applyFont="1" applyBorder="1" applyAlignment="1" applyProtection="1">
      <alignment horizontal="right" vertical="center" wrapText="1"/>
      <protection locked="0"/>
    </xf>
    <xf numFmtId="0" fontId="3" fillId="0" borderId="23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1" fillId="7" borderId="27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 applyProtection="1">
      <alignment horizontal="left" vertical="center"/>
      <protection locked="0"/>
    </xf>
    <xf numFmtId="0" fontId="3" fillId="7" borderId="21" xfId="0" applyFont="1" applyFill="1" applyBorder="1" applyAlignment="1" applyProtection="1">
      <alignment horizontal="left" vertical="center" wrapText="1"/>
      <protection locked="0"/>
    </xf>
    <xf numFmtId="0" fontId="3" fillId="7" borderId="113" xfId="0" applyFont="1" applyFill="1" applyBorder="1" applyAlignment="1" applyProtection="1">
      <alignment horizontal="left" vertical="center" wrapText="1"/>
      <protection locked="0"/>
    </xf>
    <xf numFmtId="0" fontId="3" fillId="7" borderId="96" xfId="0" applyFont="1" applyFill="1" applyBorder="1" applyAlignment="1" applyProtection="1">
      <alignment horizontal="right" vertical="center" wrapText="1"/>
      <protection locked="0"/>
    </xf>
    <xf numFmtId="0" fontId="3" fillId="7" borderId="11" xfId="0" applyFont="1" applyFill="1" applyBorder="1" applyAlignment="1" applyProtection="1">
      <alignment horizontal="right" vertical="center" wrapText="1"/>
      <protection locked="0"/>
    </xf>
    <xf numFmtId="0" fontId="3" fillId="7" borderId="9" xfId="0" applyFont="1" applyFill="1" applyBorder="1" applyAlignment="1" applyProtection="1">
      <alignment horizontal="right" vertical="center" wrapText="1"/>
      <protection locked="0"/>
    </xf>
    <xf numFmtId="0" fontId="3" fillId="7" borderId="27" xfId="0" applyFont="1" applyFill="1" applyBorder="1" applyAlignment="1" applyProtection="1">
      <alignment horizontal="right" vertical="center" wrapText="1"/>
      <protection locked="0"/>
    </xf>
    <xf numFmtId="0" fontId="3" fillId="7" borderId="21" xfId="0" applyFont="1" applyFill="1" applyBorder="1" applyAlignment="1" applyProtection="1">
      <alignment horizontal="right" vertical="center" wrapText="1"/>
      <protection locked="0"/>
    </xf>
    <xf numFmtId="0" fontId="3" fillId="7" borderId="7" xfId="0" applyFont="1" applyFill="1" applyBorder="1" applyAlignment="1" applyProtection="1">
      <alignment horizontal="right" vertical="center" wrapText="1"/>
      <protection locked="0"/>
    </xf>
    <xf numFmtId="0" fontId="1" fillId="7" borderId="9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113" xfId="0" applyFont="1" applyBorder="1" applyAlignment="1" applyProtection="1">
      <alignment horizontal="left" vertical="center" wrapText="1"/>
      <protection locked="0"/>
    </xf>
    <xf numFmtId="0" fontId="3" fillId="0" borderId="96" xfId="0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3" fillId="0" borderId="27" xfId="0" applyFont="1" applyBorder="1" applyAlignment="1" applyProtection="1">
      <alignment horizontal="right" vertical="center" wrapText="1"/>
      <protection locked="0"/>
    </xf>
    <xf numFmtId="0" fontId="3" fillId="0" borderId="21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1" fillId="6" borderId="53" xfId="0" applyFont="1" applyFill="1" applyBorder="1" applyAlignment="1" applyProtection="1">
      <alignment horizontal="center" vertical="center"/>
      <protection locked="0"/>
    </xf>
    <xf numFmtId="0" fontId="1" fillId="6" borderId="56" xfId="0" applyFont="1" applyFill="1" applyBorder="1" applyAlignment="1" applyProtection="1">
      <alignment horizontal="center" vertical="center"/>
      <protection locked="0"/>
    </xf>
    <xf numFmtId="0" fontId="1" fillId="6" borderId="57" xfId="0" applyFont="1" applyFill="1" applyBorder="1" applyAlignment="1" applyProtection="1">
      <alignment horizontal="center" vertical="center"/>
      <protection locked="0"/>
    </xf>
    <xf numFmtId="0" fontId="3" fillId="6" borderId="53" xfId="0" applyFont="1" applyFill="1" applyBorder="1" applyAlignment="1" applyProtection="1">
      <alignment horizontal="left" vertical="center"/>
      <protection locked="0"/>
    </xf>
    <xf numFmtId="0" fontId="3" fillId="6" borderId="59" xfId="0" applyFont="1" applyFill="1" applyBorder="1" applyAlignment="1" applyProtection="1">
      <alignment horizontal="left" vertical="center" wrapText="1"/>
      <protection locked="0"/>
    </xf>
    <xf numFmtId="0" fontId="3" fillId="6" borderId="114" xfId="0" applyFont="1" applyFill="1" applyBorder="1" applyAlignment="1" applyProtection="1">
      <alignment horizontal="left" vertical="center" wrapText="1"/>
      <protection locked="0"/>
    </xf>
    <xf numFmtId="0" fontId="3" fillId="6" borderId="97" xfId="0" applyFont="1" applyFill="1" applyBorder="1" applyAlignment="1" applyProtection="1">
      <alignment horizontal="right" vertical="center" wrapText="1"/>
      <protection locked="0"/>
    </xf>
    <xf numFmtId="0" fontId="3" fillId="6" borderId="57" xfId="0" applyFont="1" applyFill="1" applyBorder="1" applyAlignment="1" applyProtection="1">
      <alignment horizontal="right" vertical="center" wrapText="1"/>
      <protection locked="0"/>
    </xf>
    <xf numFmtId="0" fontId="3" fillId="6" borderId="54" xfId="0" applyFont="1" applyFill="1" applyBorder="1" applyAlignment="1" applyProtection="1">
      <alignment horizontal="right" vertical="center" wrapText="1"/>
      <protection locked="0"/>
    </xf>
    <xf numFmtId="0" fontId="3" fillId="6" borderId="56" xfId="0" applyFont="1" applyFill="1" applyBorder="1" applyAlignment="1" applyProtection="1">
      <alignment horizontal="right" vertical="center" wrapText="1"/>
      <protection locked="0"/>
    </xf>
    <xf numFmtId="0" fontId="3" fillId="6" borderId="59" xfId="0" applyFont="1" applyFill="1" applyBorder="1" applyAlignment="1" applyProtection="1">
      <alignment horizontal="right" vertical="center" wrapText="1"/>
      <protection locked="0"/>
    </xf>
    <xf numFmtId="0" fontId="3" fillId="6" borderId="53" xfId="0" applyFont="1" applyFill="1" applyBorder="1" applyAlignment="1" applyProtection="1">
      <alignment horizontal="right" vertical="center" wrapText="1"/>
      <protection locked="0"/>
    </xf>
    <xf numFmtId="0" fontId="1" fillId="6" borderId="54" xfId="0" applyFont="1" applyFill="1" applyBorder="1" applyAlignment="1" applyProtection="1">
      <alignment horizontal="right" vertical="center" wrapText="1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0" fontId="3" fillId="0" borderId="51" xfId="0" applyFont="1" applyBorder="1" applyAlignment="1" applyProtection="1">
      <alignment horizontal="left" vertical="center" wrapText="1"/>
      <protection locked="0"/>
    </xf>
    <xf numFmtId="0" fontId="3" fillId="0" borderId="115" xfId="0" applyFont="1" applyBorder="1" applyAlignment="1" applyProtection="1">
      <alignment horizontal="left" vertical="center" wrapText="1"/>
      <protection locked="0"/>
    </xf>
    <xf numFmtId="0" fontId="3" fillId="0" borderId="98" xfId="0" applyFont="1" applyBorder="1" applyAlignment="1" applyProtection="1">
      <alignment horizontal="right" vertical="center" wrapText="1"/>
      <protection locked="0"/>
    </xf>
    <xf numFmtId="0" fontId="3" fillId="0" borderId="49" xfId="0" applyFont="1" applyBorder="1" applyAlignment="1" applyProtection="1">
      <alignment horizontal="right" vertical="center" wrapText="1"/>
      <protection locked="0"/>
    </xf>
    <xf numFmtId="0" fontId="3" fillId="0" borderId="46" xfId="0" applyFont="1" applyBorder="1" applyAlignment="1" applyProtection="1">
      <alignment horizontal="right" vertical="center" wrapText="1"/>
      <protection locked="0"/>
    </xf>
    <xf numFmtId="0" fontId="3" fillId="0" borderId="48" xfId="0" applyFont="1" applyBorder="1" applyAlignment="1" applyProtection="1">
      <alignment horizontal="right" vertical="center" wrapText="1"/>
      <protection locked="0"/>
    </xf>
    <xf numFmtId="0" fontId="3" fillId="0" borderId="51" xfId="0" applyFont="1" applyBorder="1" applyAlignment="1" applyProtection="1">
      <alignment horizontal="right" vertical="center" wrapText="1"/>
      <protection locked="0"/>
    </xf>
    <xf numFmtId="0" fontId="3" fillId="0" borderId="45" xfId="0" applyFont="1" applyBorder="1" applyAlignment="1" applyProtection="1">
      <alignment horizontal="right" vertical="center" wrapText="1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" fillId="6" borderId="27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left" vertical="center"/>
      <protection locked="0"/>
    </xf>
    <xf numFmtId="0" fontId="4" fillId="6" borderId="21" xfId="0" applyFont="1" applyFill="1" applyBorder="1" applyAlignment="1" applyProtection="1">
      <alignment horizontal="left" vertical="center" wrapText="1"/>
      <protection locked="0"/>
    </xf>
    <xf numFmtId="0" fontId="3" fillId="6" borderId="113" xfId="0" applyFont="1" applyFill="1" applyBorder="1" applyAlignment="1" applyProtection="1">
      <alignment horizontal="left" vertical="center" wrapText="1"/>
      <protection locked="0"/>
    </xf>
    <xf numFmtId="0" fontId="3" fillId="6" borderId="96" xfId="0" applyFont="1" applyFill="1" applyBorder="1" applyAlignment="1" applyProtection="1">
      <alignment horizontal="right" vertical="center" wrapText="1"/>
      <protection locked="0"/>
    </xf>
    <xf numFmtId="0" fontId="3" fillId="6" borderId="11" xfId="0" applyFont="1" applyFill="1" applyBorder="1" applyAlignment="1" applyProtection="1">
      <alignment horizontal="right" vertical="center" wrapText="1"/>
      <protection locked="0"/>
    </xf>
    <xf numFmtId="0" fontId="3" fillId="6" borderId="9" xfId="0" applyFont="1" applyFill="1" applyBorder="1" applyAlignment="1" applyProtection="1">
      <alignment horizontal="right" vertical="center" wrapText="1"/>
      <protection locked="0"/>
    </xf>
    <xf numFmtId="0" fontId="3" fillId="6" borderId="27" xfId="0" applyFont="1" applyFill="1" applyBorder="1" applyAlignment="1" applyProtection="1">
      <alignment horizontal="right" vertical="center" wrapText="1"/>
      <protection locked="0"/>
    </xf>
    <xf numFmtId="0" fontId="3" fillId="6" borderId="21" xfId="0" applyFont="1" applyFill="1" applyBorder="1" applyAlignment="1" applyProtection="1">
      <alignment horizontal="right" vertical="center" wrapText="1"/>
      <protection locked="0"/>
    </xf>
    <xf numFmtId="0" fontId="3" fillId="6" borderId="7" xfId="0" applyFont="1" applyFill="1" applyBorder="1" applyAlignment="1" applyProtection="1">
      <alignment horizontal="right" vertical="center" wrapText="1"/>
      <protection locked="0"/>
    </xf>
    <xf numFmtId="0" fontId="1" fillId="7" borderId="53" xfId="0" applyFont="1" applyFill="1" applyBorder="1" applyAlignment="1" applyProtection="1">
      <alignment horizontal="center" vertical="center"/>
      <protection locked="0"/>
    </xf>
    <xf numFmtId="0" fontId="1" fillId="7" borderId="56" xfId="0" applyFont="1" applyFill="1" applyBorder="1" applyAlignment="1" applyProtection="1">
      <alignment horizontal="center" vertical="center"/>
      <protection locked="0"/>
    </xf>
    <xf numFmtId="0" fontId="1" fillId="7" borderId="57" xfId="0" applyFont="1" applyFill="1" applyBorder="1" applyAlignment="1" applyProtection="1">
      <alignment horizontal="center" vertical="center"/>
      <protection locked="0"/>
    </xf>
    <xf numFmtId="0" fontId="6" fillId="7" borderId="53" xfId="0" applyFont="1" applyFill="1" applyBorder="1" applyAlignment="1" applyProtection="1">
      <alignment horizontal="left" vertical="center"/>
      <protection locked="0"/>
    </xf>
    <xf numFmtId="0" fontId="6" fillId="7" borderId="59" xfId="0" applyFont="1" applyFill="1" applyBorder="1" applyAlignment="1" applyProtection="1">
      <alignment horizontal="left" vertical="center" wrapText="1"/>
      <protection locked="0"/>
    </xf>
    <xf numFmtId="0" fontId="3" fillId="7" borderId="114" xfId="0" applyFont="1" applyFill="1" applyBorder="1" applyAlignment="1" applyProtection="1">
      <alignment horizontal="left" vertical="center" wrapText="1"/>
      <protection locked="0"/>
    </xf>
    <xf numFmtId="0" fontId="3" fillId="7" borderId="97" xfId="0" applyFont="1" applyFill="1" applyBorder="1" applyAlignment="1" applyProtection="1">
      <alignment horizontal="right" vertical="center" wrapText="1"/>
      <protection locked="0"/>
    </xf>
    <xf numFmtId="0" fontId="3" fillId="7" borderId="57" xfId="0" applyFont="1" applyFill="1" applyBorder="1" applyAlignment="1" applyProtection="1">
      <alignment horizontal="right" vertical="center" wrapText="1"/>
      <protection locked="0"/>
    </xf>
    <xf numFmtId="0" fontId="3" fillId="7" borderId="54" xfId="0" applyFont="1" applyFill="1" applyBorder="1" applyAlignment="1" applyProtection="1">
      <alignment horizontal="right" vertical="center" wrapText="1"/>
      <protection locked="0"/>
    </xf>
    <xf numFmtId="0" fontId="3" fillId="7" borderId="56" xfId="0" applyFont="1" applyFill="1" applyBorder="1" applyAlignment="1" applyProtection="1">
      <alignment horizontal="right" vertical="center" wrapText="1"/>
      <protection locked="0"/>
    </xf>
    <xf numFmtId="0" fontId="3" fillId="7" borderId="59" xfId="0" applyFont="1" applyFill="1" applyBorder="1" applyAlignment="1" applyProtection="1">
      <alignment horizontal="right" vertical="center" wrapText="1"/>
      <protection locked="0"/>
    </xf>
    <xf numFmtId="0" fontId="3" fillId="7" borderId="53" xfId="0" applyFont="1" applyFill="1" applyBorder="1" applyAlignment="1" applyProtection="1">
      <alignment horizontal="right" vertical="center" wrapText="1"/>
      <protection locked="0"/>
    </xf>
    <xf numFmtId="0" fontId="3" fillId="6" borderId="7" xfId="0" applyFont="1" applyFill="1" applyBorder="1" applyAlignment="1" applyProtection="1">
      <alignment horizontal="left" vertical="center"/>
      <protection locked="0"/>
    </xf>
    <xf numFmtId="0" fontId="3" fillId="6" borderId="21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5" fontId="1" fillId="0" borderId="14" xfId="0" applyNumberFormat="1" applyFont="1" applyBorder="1" applyAlignment="1" applyProtection="1">
      <alignment horizontal="right" vertical="center" wrapText="1"/>
      <protection locked="0"/>
    </xf>
    <xf numFmtId="1" fontId="1" fillId="0" borderId="101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0" fillId="7" borderId="7" xfId="0" applyFill="1" applyBorder="1" applyAlignment="1" applyProtection="1">
      <alignment vertical="center" wrapText="1"/>
      <protection locked="0"/>
    </xf>
    <xf numFmtId="5" fontId="1" fillId="7" borderId="15" xfId="0" applyNumberFormat="1" applyFont="1" applyFill="1" applyBorder="1" applyAlignment="1" applyProtection="1">
      <alignment horizontal="right" vertical="center" wrapText="1"/>
      <protection locked="0"/>
    </xf>
    <xf numFmtId="1" fontId="1" fillId="7" borderId="102" xfId="0" applyNumberFormat="1" applyFont="1" applyFill="1" applyBorder="1" applyAlignment="1" applyProtection="1">
      <alignment horizontal="center" vertical="center"/>
      <protection locked="0"/>
    </xf>
    <xf numFmtId="1" fontId="1" fillId="7" borderId="7" xfId="0" applyNumberFormat="1" applyFont="1" applyFill="1" applyBorder="1" applyAlignment="1" applyProtection="1">
      <alignment horizontal="center" vertical="center"/>
      <protection locked="0"/>
    </xf>
    <xf numFmtId="1" fontId="1" fillId="7" borderId="27" xfId="0" applyNumberFormat="1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3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5" fontId="1" fillId="0" borderId="15" xfId="0" applyNumberFormat="1" applyFont="1" applyBorder="1" applyAlignment="1" applyProtection="1">
      <alignment horizontal="right" vertical="center" wrapText="1"/>
      <protection locked="0"/>
    </xf>
    <xf numFmtId="1" fontId="1" fillId="0" borderId="102" xfId="0" applyNumberFormat="1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27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6" borderId="53" xfId="0" applyFont="1" applyFill="1" applyBorder="1" applyAlignment="1" applyProtection="1">
      <alignment horizontal="center" vertical="center"/>
      <protection locked="0"/>
    </xf>
    <xf numFmtId="5" fontId="0" fillId="6" borderId="58" xfId="0" applyNumberFormat="1" applyFill="1" applyBorder="1" applyAlignment="1" applyProtection="1">
      <alignment horizontal="right" vertical="center" wrapText="1"/>
      <protection locked="0"/>
    </xf>
    <xf numFmtId="1" fontId="1" fillId="6" borderId="104" xfId="0" applyNumberFormat="1" applyFont="1" applyFill="1" applyBorder="1" applyAlignment="1" applyProtection="1">
      <alignment horizontal="center" vertical="center"/>
      <protection locked="0"/>
    </xf>
    <xf numFmtId="1" fontId="1" fillId="6" borderId="53" xfId="0" applyNumberFormat="1" applyFont="1" applyFill="1" applyBorder="1" applyAlignment="1" applyProtection="1">
      <alignment horizontal="center" vertical="center"/>
      <protection locked="0"/>
    </xf>
    <xf numFmtId="1" fontId="1" fillId="6" borderId="56" xfId="0" applyNumberFormat="1" applyFont="1" applyFill="1" applyBorder="1" applyAlignment="1" applyProtection="1">
      <alignment horizontal="center" vertical="center"/>
      <protection locked="0"/>
    </xf>
    <xf numFmtId="0" fontId="1" fillId="6" borderId="57" xfId="0" applyFont="1" applyFill="1" applyBorder="1" applyAlignment="1" applyProtection="1">
      <alignment horizontal="center" vertical="center" wrapText="1"/>
      <protection locked="0"/>
    </xf>
    <xf numFmtId="0" fontId="1" fillId="6" borderId="53" xfId="0" applyFont="1" applyFill="1" applyBorder="1" applyAlignment="1" applyProtection="1">
      <alignment horizontal="center" vertical="center" wrapText="1"/>
      <protection locked="0"/>
    </xf>
    <xf numFmtId="0" fontId="3" fillId="6" borderId="60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5" fontId="1" fillId="0" borderId="50" xfId="0" applyNumberFormat="1" applyFont="1" applyBorder="1" applyAlignment="1" applyProtection="1">
      <alignment horizontal="right" vertical="center" wrapText="1"/>
      <protection locked="0"/>
    </xf>
    <xf numFmtId="1" fontId="1" fillId="0" borderId="105" xfId="0" applyNumberFormat="1" applyFont="1" applyBorder="1" applyAlignment="1" applyProtection="1">
      <alignment horizontal="center" vertical="center"/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1" fontId="1" fillId="0" borderId="48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5" fontId="1" fillId="6" borderId="15" xfId="0" applyNumberFormat="1" applyFont="1" applyFill="1" applyBorder="1" applyAlignment="1" applyProtection="1">
      <alignment horizontal="right" vertical="center" wrapText="1"/>
      <protection locked="0"/>
    </xf>
    <xf numFmtId="1" fontId="1" fillId="6" borderId="102" xfId="0" applyNumberFormat="1" applyFont="1" applyFill="1" applyBorder="1" applyAlignment="1" applyProtection="1">
      <alignment horizontal="center" vertical="center"/>
      <protection locked="0"/>
    </xf>
    <xf numFmtId="1" fontId="1" fillId="6" borderId="7" xfId="0" applyNumberFormat="1" applyFont="1" applyFill="1" applyBorder="1" applyAlignment="1" applyProtection="1">
      <alignment horizontal="center" vertical="center"/>
      <protection locked="0"/>
    </xf>
    <xf numFmtId="1" fontId="1" fillId="6" borderId="27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3" fillId="6" borderId="34" xfId="0" applyFont="1" applyFill="1" applyBorder="1" applyAlignment="1" applyProtection="1">
      <alignment horizontal="left" vertical="center" wrapText="1"/>
      <protection locked="0"/>
    </xf>
    <xf numFmtId="0" fontId="3" fillId="7" borderId="53" xfId="0" applyFont="1" applyFill="1" applyBorder="1" applyAlignment="1" applyProtection="1">
      <alignment horizontal="center" vertical="center"/>
      <protection locked="0"/>
    </xf>
    <xf numFmtId="5" fontId="1" fillId="7" borderId="58" xfId="0" applyNumberFormat="1" applyFont="1" applyFill="1" applyBorder="1" applyAlignment="1" applyProtection="1">
      <alignment horizontal="right" vertical="center" wrapText="1"/>
      <protection locked="0"/>
    </xf>
    <xf numFmtId="1" fontId="1" fillId="7" borderId="104" xfId="0" applyNumberFormat="1" applyFont="1" applyFill="1" applyBorder="1" applyAlignment="1" applyProtection="1">
      <alignment horizontal="center" vertical="center"/>
      <protection locked="0"/>
    </xf>
    <xf numFmtId="1" fontId="1" fillId="7" borderId="53" xfId="0" applyNumberFormat="1" applyFont="1" applyFill="1" applyBorder="1" applyAlignment="1" applyProtection="1">
      <alignment horizontal="center" vertical="center"/>
      <protection locked="0"/>
    </xf>
    <xf numFmtId="1" fontId="1" fillId="7" borderId="56" xfId="0" applyNumberFormat="1" applyFont="1" applyFill="1" applyBorder="1" applyAlignment="1" applyProtection="1">
      <alignment horizontal="center" vertical="center"/>
      <protection locked="0"/>
    </xf>
    <xf numFmtId="0" fontId="1" fillId="7" borderId="57" xfId="0" applyFont="1" applyFill="1" applyBorder="1" applyAlignment="1" applyProtection="1">
      <alignment horizontal="center" vertical="center" wrapText="1"/>
      <protection locked="0"/>
    </xf>
    <xf numFmtId="0" fontId="1" fillId="7" borderId="53" xfId="0" applyFont="1" applyFill="1" applyBorder="1" applyAlignment="1" applyProtection="1">
      <alignment horizontal="center" vertical="center" wrapText="1"/>
      <protection locked="0"/>
    </xf>
    <xf numFmtId="0" fontId="3" fillId="7" borderId="60" xfId="0" applyFont="1" applyFill="1" applyBorder="1" applyAlignment="1" applyProtection="1">
      <alignment horizontal="left" vertical="center" wrapText="1"/>
      <protection locked="0"/>
    </xf>
    <xf numFmtId="5" fontId="1" fillId="6" borderId="58" xfId="0" applyNumberFormat="1" applyFont="1" applyFill="1" applyBorder="1" applyAlignment="1" applyProtection="1">
      <alignment horizontal="right" vertical="center" wrapText="1"/>
      <protection locked="0"/>
    </xf>
    <xf numFmtId="1" fontId="3" fillId="22" borderId="106" xfId="0" applyNumberFormat="1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right" vertical="top" wrapText="1"/>
      <protection locked="0"/>
    </xf>
    <xf numFmtId="0" fontId="3" fillId="13" borderId="2" xfId="0" applyFont="1" applyFill="1" applyBorder="1" applyAlignment="1" applyProtection="1">
      <alignment horizontal="right" vertical="top" wrapText="1"/>
      <protection locked="0"/>
    </xf>
    <xf numFmtId="0" fontId="3" fillId="0" borderId="117" xfId="0" applyFont="1" applyBorder="1" applyAlignment="1" applyProtection="1">
      <alignment horizontal="left" vertical="top" wrapText="1"/>
      <protection locked="0"/>
    </xf>
    <xf numFmtId="1" fontId="1" fillId="2" borderId="35" xfId="0" applyNumberFormat="1" applyFont="1" applyFill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wrapText="1"/>
      <protection locked="0"/>
    </xf>
    <xf numFmtId="0" fontId="6" fillId="0" borderId="40" xfId="0" applyFont="1" applyBorder="1" applyAlignment="1" applyProtection="1">
      <alignment wrapText="1"/>
      <protection locked="0"/>
    </xf>
    <xf numFmtId="0" fontId="3" fillId="0" borderId="106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5" fillId="8" borderId="44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11" borderId="43" xfId="0" applyFont="1" applyFill="1" applyBorder="1" applyAlignment="1">
      <alignment horizontal="center" vertical="center" wrapText="1"/>
    </xf>
    <xf numFmtId="0" fontId="5" fillId="11" borderId="44" xfId="0" applyFont="1" applyFill="1" applyBorder="1" applyAlignment="1">
      <alignment horizontal="center" vertical="center" wrapText="1"/>
    </xf>
    <xf numFmtId="0" fontId="5" fillId="11" borderId="33" xfId="0" applyFont="1" applyFill="1" applyBorder="1" applyAlignment="1">
      <alignment horizontal="center" vertical="center" wrapText="1"/>
    </xf>
    <xf numFmtId="0" fontId="3" fillId="12" borderId="132" xfId="0" applyFont="1" applyFill="1" applyBorder="1" applyAlignment="1" applyProtection="1">
      <alignment vertical="top" wrapText="1"/>
      <protection locked="0"/>
    </xf>
    <xf numFmtId="164" fontId="28" fillId="10" borderId="15" xfId="0" applyNumberFormat="1" applyFont="1" applyFill="1" applyBorder="1" applyAlignment="1">
      <alignment horizontal="center" wrapText="1"/>
    </xf>
    <xf numFmtId="0" fontId="3" fillId="7" borderId="7" xfId="0" applyFont="1" applyFill="1" applyBorder="1" applyAlignment="1" applyProtection="1">
      <alignment vertical="center" wrapText="1"/>
      <protection locked="0"/>
    </xf>
    <xf numFmtId="0" fontId="20" fillId="22" borderId="102" xfId="0" applyFont="1" applyFill="1" applyBorder="1" applyAlignment="1">
      <alignment horizontal="center" wrapText="1"/>
    </xf>
    <xf numFmtId="164" fontId="5" fillId="0" borderId="0" xfId="0" applyNumberFormat="1" applyFont="1" applyAlignment="1">
      <alignment wrapText="1"/>
    </xf>
    <xf numFmtId="0" fontId="6" fillId="23" borderId="7" xfId="0" applyFont="1" applyFill="1" applyBorder="1" applyAlignment="1">
      <alignment horizontal="center" wrapText="1"/>
    </xf>
    <xf numFmtId="0" fontId="0" fillId="10" borderId="0" xfId="0" applyFill="1" applyAlignment="1">
      <alignment wrapText="1"/>
    </xf>
    <xf numFmtId="0" fontId="0" fillId="10" borderId="111" xfId="0" applyFill="1" applyBorder="1" applyAlignment="1">
      <alignment wrapText="1"/>
    </xf>
    <xf numFmtId="0" fontId="0" fillId="10" borderId="17" xfId="0" applyFill="1" applyBorder="1" applyAlignment="1">
      <alignment wrapText="1"/>
    </xf>
    <xf numFmtId="0" fontId="0" fillId="10" borderId="18" xfId="0" applyFill="1" applyBorder="1" applyAlignment="1">
      <alignment wrapText="1"/>
    </xf>
    <xf numFmtId="0" fontId="0" fillId="10" borderId="28" xfId="0" applyFill="1" applyBorder="1" applyAlignment="1">
      <alignment wrapText="1"/>
    </xf>
    <xf numFmtId="0" fontId="0" fillId="10" borderId="25" xfId="0" applyFill="1" applyBorder="1" applyAlignment="1">
      <alignment wrapText="1"/>
    </xf>
    <xf numFmtId="0" fontId="0" fillId="10" borderId="12" xfId="0" applyFill="1" applyBorder="1" applyAlignment="1">
      <alignment wrapText="1"/>
    </xf>
    <xf numFmtId="0" fontId="0" fillId="10" borderId="19" xfId="0" applyFill="1" applyBorder="1" applyAlignment="1">
      <alignment wrapText="1"/>
    </xf>
    <xf numFmtId="0" fontId="14" fillId="23" borderId="0" xfId="0" applyFont="1" applyFill="1" applyAlignment="1">
      <alignment wrapText="1"/>
    </xf>
    <xf numFmtId="0" fontId="15" fillId="21" borderId="79" xfId="0" applyFont="1" applyFill="1" applyBorder="1" applyAlignment="1">
      <alignment wrapText="1"/>
    </xf>
    <xf numFmtId="0" fontId="15" fillId="21" borderId="128" xfId="0" applyFont="1" applyFill="1" applyBorder="1" applyAlignment="1">
      <alignment wrapText="1"/>
    </xf>
    <xf numFmtId="0" fontId="15" fillId="21" borderId="82" xfId="0" applyFont="1" applyFill="1" applyBorder="1" applyAlignment="1">
      <alignment wrapText="1"/>
    </xf>
    <xf numFmtId="0" fontId="15" fillId="17" borderId="79" xfId="0" applyFont="1" applyFill="1" applyBorder="1" applyAlignment="1">
      <alignment wrapText="1"/>
    </xf>
    <xf numFmtId="0" fontId="15" fillId="17" borderId="85" xfId="0" applyFont="1" applyFill="1" applyBorder="1" applyAlignment="1">
      <alignment wrapText="1"/>
    </xf>
    <xf numFmtId="0" fontId="15" fillId="17" borderId="128" xfId="0" applyFont="1" applyFill="1" applyBorder="1" applyAlignment="1">
      <alignment wrapText="1"/>
    </xf>
    <xf numFmtId="0" fontId="15" fillId="17" borderId="82" xfId="0" applyFont="1" applyFill="1" applyBorder="1" applyAlignment="1">
      <alignment wrapText="1"/>
    </xf>
    <xf numFmtId="0" fontId="15" fillId="21" borderId="85" xfId="0" applyFont="1" applyFill="1" applyBorder="1" applyAlignment="1">
      <alignment wrapText="1"/>
    </xf>
    <xf numFmtId="169" fontId="14" fillId="23" borderId="7" xfId="0" applyNumberFormat="1" applyFont="1" applyFill="1" applyBorder="1" applyAlignment="1">
      <alignment horizontal="center" wrapText="1"/>
    </xf>
    <xf numFmtId="164" fontId="7" fillId="22" borderId="13" xfId="0" applyNumberFormat="1" applyFont="1" applyFill="1" applyBorder="1" applyAlignment="1">
      <alignment horizontal="center" wrapText="1"/>
    </xf>
    <xf numFmtId="169" fontId="14" fillId="23" borderId="11" xfId="0" applyNumberFormat="1" applyFont="1" applyFill="1" applyBorder="1" applyAlignment="1">
      <alignment horizontal="center" wrapText="1"/>
    </xf>
    <xf numFmtId="169" fontId="14" fillId="23" borderId="90" xfId="0" applyNumberFormat="1" applyFont="1" applyFill="1" applyBorder="1" applyAlignment="1">
      <alignment horizontal="center" wrapText="1"/>
    </xf>
    <xf numFmtId="169" fontId="14" fillId="23" borderId="9" xfId="0" applyNumberFormat="1" applyFont="1" applyFill="1" applyBorder="1" applyAlignment="1">
      <alignment horizontal="center" wrapText="1"/>
    </xf>
    <xf numFmtId="169" fontId="14" fillId="23" borderId="92" xfId="0" applyNumberFormat="1" applyFont="1" applyFill="1" applyBorder="1" applyAlignment="1">
      <alignment horizontal="center" wrapText="1"/>
    </xf>
    <xf numFmtId="164" fontId="6" fillId="22" borderId="0" xfId="0" applyNumberFormat="1" applyFont="1" applyFill="1" applyAlignment="1">
      <alignment horizontal="right" vertical="center" wrapText="1"/>
    </xf>
    <xf numFmtId="3" fontId="27" fillId="22" borderId="13" xfId="0" applyNumberFormat="1" applyFont="1" applyFill="1" applyBorder="1" applyAlignment="1">
      <alignment horizontal="center" vertical="center" wrapText="1"/>
    </xf>
    <xf numFmtId="3" fontId="6" fillId="22" borderId="12" xfId="0" applyNumberFormat="1" applyFont="1" applyFill="1" applyBorder="1" applyAlignment="1">
      <alignment horizontal="right" vertical="center" wrapText="1"/>
    </xf>
    <xf numFmtId="164" fontId="27" fillId="4" borderId="160" xfId="0" applyNumberFormat="1" applyFont="1" applyFill="1" applyBorder="1" applyAlignment="1">
      <alignment horizontal="center" vertical="center" wrapText="1"/>
    </xf>
    <xf numFmtId="3" fontId="4" fillId="22" borderId="12" xfId="0" applyNumberFormat="1" applyFont="1" applyFill="1" applyBorder="1" applyAlignment="1">
      <alignment horizontal="right" wrapText="1"/>
    </xf>
    <xf numFmtId="164" fontId="4" fillId="22" borderId="0" xfId="0" applyNumberFormat="1" applyFont="1" applyFill="1" applyAlignment="1">
      <alignment horizontal="right" wrapText="1"/>
    </xf>
    <xf numFmtId="0" fontId="3" fillId="8" borderId="5" xfId="0" applyFont="1" applyFill="1" applyBorder="1" applyAlignment="1">
      <alignment horizontal="right" vertical="center" wrapText="1"/>
    </xf>
    <xf numFmtId="3" fontId="27" fillId="10" borderId="14" xfId="0" applyNumberFormat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right" vertical="center" wrapText="1"/>
    </xf>
    <xf numFmtId="164" fontId="27" fillId="4" borderId="15" xfId="0" applyNumberFormat="1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left" wrapText="1"/>
    </xf>
    <xf numFmtId="0" fontId="3" fillId="8" borderId="7" xfId="0" applyFont="1" applyFill="1" applyBorder="1" applyAlignment="1">
      <alignment horizontal="center" wrapText="1"/>
    </xf>
    <xf numFmtId="0" fontId="6" fillId="8" borderId="7" xfId="0" applyFont="1" applyFill="1" applyBorder="1" applyAlignment="1">
      <alignment horizontal="center" wrapText="1"/>
    </xf>
    <xf numFmtId="0" fontId="20" fillId="22" borderId="166" xfId="0" applyFont="1" applyFill="1" applyBorder="1" applyAlignment="1">
      <alignment horizontal="center" vertical="center" wrapText="1"/>
    </xf>
    <xf numFmtId="0" fontId="5" fillId="8" borderId="167" xfId="0" applyFont="1" applyFill="1" applyBorder="1" applyAlignment="1">
      <alignment horizontal="center"/>
    </xf>
    <xf numFmtId="0" fontId="1" fillId="0" borderId="93" xfId="0" applyFont="1" applyBorder="1" applyAlignment="1">
      <alignment horizontal="center"/>
    </xf>
    <xf numFmtId="0" fontId="1" fillId="0" borderId="168" xfId="0" applyFont="1" applyBorder="1" applyAlignment="1">
      <alignment horizontal="center"/>
    </xf>
    <xf numFmtId="0" fontId="1" fillId="0" borderId="163" xfId="0" applyFont="1" applyBorder="1" applyAlignment="1">
      <alignment horizontal="center"/>
    </xf>
    <xf numFmtId="0" fontId="1" fillId="0" borderId="161" xfId="0" applyFont="1" applyBorder="1" applyAlignment="1">
      <alignment horizontal="center"/>
    </xf>
    <xf numFmtId="0" fontId="1" fillId="0" borderId="169" xfId="0" applyFont="1" applyBorder="1" applyAlignment="1">
      <alignment horizontal="center"/>
    </xf>
    <xf numFmtId="0" fontId="1" fillId="2" borderId="166" xfId="0" applyFont="1" applyFill="1" applyBorder="1" applyAlignment="1">
      <alignment horizontal="right" wrapText="1"/>
    </xf>
    <xf numFmtId="0" fontId="4" fillId="12" borderId="168" xfId="0" applyFont="1" applyFill="1" applyBorder="1" applyAlignment="1">
      <alignment horizontal="center" wrapText="1"/>
    </xf>
    <xf numFmtId="0" fontId="4" fillId="12" borderId="163" xfId="0" applyFont="1" applyFill="1" applyBorder="1" applyAlignment="1">
      <alignment horizontal="center" wrapText="1"/>
    </xf>
    <xf numFmtId="0" fontId="4" fillId="12" borderId="93" xfId="0" applyFont="1" applyFill="1" applyBorder="1" applyAlignment="1">
      <alignment horizontal="center" wrapText="1"/>
    </xf>
    <xf numFmtId="0" fontId="4" fillId="12" borderId="161" xfId="0" applyFont="1" applyFill="1" applyBorder="1" applyAlignment="1">
      <alignment horizontal="center" wrapText="1"/>
    </xf>
    <xf numFmtId="0" fontId="3" fillId="2" borderId="170" xfId="0" applyFont="1" applyFill="1" applyBorder="1" applyAlignment="1">
      <alignment horizontal="right" wrapText="1"/>
    </xf>
    <xf numFmtId="0" fontId="3" fillId="8" borderId="93" xfId="0" applyFont="1" applyFill="1" applyBorder="1" applyAlignment="1">
      <alignment horizontal="center" wrapText="1"/>
    </xf>
    <xf numFmtId="1" fontId="7" fillId="2" borderId="171" xfId="0" applyNumberFormat="1" applyFont="1" applyFill="1" applyBorder="1" applyAlignment="1">
      <alignment horizontal="right"/>
    </xf>
    <xf numFmtId="0" fontId="2" fillId="2" borderId="172" xfId="0" applyFont="1" applyFill="1" applyBorder="1" applyAlignment="1">
      <alignment horizontal="left"/>
    </xf>
    <xf numFmtId="0" fontId="2" fillId="2" borderId="173" xfId="0" applyFont="1" applyFill="1" applyBorder="1" applyAlignment="1">
      <alignment horizontal="left" vertical="top" wrapText="1"/>
    </xf>
    <xf numFmtId="0" fontId="11" fillId="2" borderId="142" xfId="0" applyFont="1" applyFill="1" applyBorder="1" applyAlignment="1">
      <alignment horizontal="center"/>
    </xf>
    <xf numFmtId="0" fontId="10" fillId="2" borderId="142" xfId="0" applyFont="1" applyFill="1" applyBorder="1" applyAlignment="1">
      <alignment horizontal="center"/>
    </xf>
    <xf numFmtId="0" fontId="7" fillId="22" borderId="174" xfId="0" applyFont="1" applyFill="1" applyBorder="1" applyAlignment="1">
      <alignment horizontal="center"/>
    </xf>
    <xf numFmtId="0" fontId="7" fillId="22" borderId="142" xfId="0" applyFont="1" applyFill="1" applyBorder="1" applyAlignment="1">
      <alignment horizontal="center"/>
    </xf>
    <xf numFmtId="0" fontId="7" fillId="22" borderId="175" xfId="0" applyFont="1" applyFill="1" applyBorder="1" applyAlignment="1">
      <alignment horizontal="center"/>
    </xf>
    <xf numFmtId="0" fontId="1" fillId="22" borderId="176" xfId="0" applyFont="1" applyFill="1" applyBorder="1" applyAlignment="1">
      <alignment horizontal="center"/>
    </xf>
    <xf numFmtId="0" fontId="1" fillId="22" borderId="142" xfId="0" applyFont="1" applyFill="1" applyBorder="1" applyAlignment="1">
      <alignment horizontal="center"/>
    </xf>
    <xf numFmtId="0" fontId="2" fillId="2" borderId="177" xfId="0" applyFont="1" applyFill="1" applyBorder="1" applyAlignment="1">
      <alignment horizontal="center" wrapText="1"/>
    </xf>
    <xf numFmtId="0" fontId="7" fillId="2" borderId="176" xfId="0" applyFont="1" applyFill="1" applyBorder="1" applyAlignment="1">
      <alignment horizontal="center"/>
    </xf>
    <xf numFmtId="0" fontId="7" fillId="2" borderId="178" xfId="0" applyFont="1" applyFill="1" applyBorder="1" applyAlignment="1">
      <alignment horizontal="center"/>
    </xf>
    <xf numFmtId="0" fontId="7" fillId="2" borderId="179" xfId="0" applyFont="1" applyFill="1" applyBorder="1" applyAlignment="1">
      <alignment horizontal="center"/>
    </xf>
    <xf numFmtId="0" fontId="7" fillId="2" borderId="142" xfId="0" applyFont="1" applyFill="1" applyBorder="1" applyAlignment="1">
      <alignment horizontal="center"/>
    </xf>
    <xf numFmtId="0" fontId="7" fillId="2" borderId="180" xfId="0" applyFont="1" applyFill="1" applyBorder="1" applyAlignment="1">
      <alignment horizontal="center"/>
    </xf>
    <xf numFmtId="0" fontId="7" fillId="2" borderId="141" xfId="0" applyFont="1" applyFill="1" applyBorder="1" applyAlignment="1">
      <alignment horizontal="center"/>
    </xf>
    <xf numFmtId="0" fontId="12" fillId="2" borderId="180" xfId="0" applyFont="1" applyFill="1" applyBorder="1" applyAlignment="1">
      <alignment horizontal="center" wrapText="1"/>
    </xf>
    <xf numFmtId="5" fontId="7" fillId="2" borderId="181" xfId="0" applyNumberFormat="1" applyFont="1" applyFill="1" applyBorder="1" applyAlignment="1">
      <alignment horizontal="right"/>
    </xf>
    <xf numFmtId="0" fontId="7" fillId="22" borderId="182" xfId="0" applyFont="1" applyFill="1" applyBorder="1" applyAlignment="1">
      <alignment horizontal="center"/>
    </xf>
    <xf numFmtId="0" fontId="7" fillId="22" borderId="183" xfId="0" applyFont="1" applyFill="1" applyBorder="1" applyAlignment="1">
      <alignment horizontal="center"/>
    </xf>
    <xf numFmtId="0" fontId="7" fillId="22" borderId="184" xfId="0" applyFont="1" applyFill="1" applyBorder="1" applyAlignment="1">
      <alignment horizontal="center"/>
    </xf>
    <xf numFmtId="0" fontId="7" fillId="22" borderId="185" xfId="0" applyFont="1" applyFill="1" applyBorder="1" applyAlignment="1">
      <alignment horizontal="center"/>
    </xf>
    <xf numFmtId="0" fontId="2" fillId="22" borderId="186" xfId="0" applyFont="1" applyFill="1" applyBorder="1" applyAlignment="1">
      <alignment horizontal="left" wrapText="1"/>
    </xf>
    <xf numFmtId="0" fontId="2" fillId="0" borderId="142" xfId="0" applyFont="1" applyBorder="1" applyAlignment="1">
      <alignment wrapText="1"/>
    </xf>
    <xf numFmtId="0" fontId="8" fillId="0" borderId="142" xfId="0" applyFont="1" applyBorder="1" applyAlignment="1">
      <alignment wrapText="1"/>
    </xf>
    <xf numFmtId="0" fontId="2" fillId="5" borderId="187" xfId="0" applyFont="1" applyFill="1" applyBorder="1" applyAlignment="1">
      <alignment horizontal="center" wrapText="1"/>
    </xf>
    <xf numFmtId="0" fontId="2" fillId="2" borderId="188" xfId="0" applyFont="1" applyFill="1" applyBorder="1" applyAlignment="1">
      <alignment horizontal="left"/>
    </xf>
    <xf numFmtId="0" fontId="0" fillId="0" borderId="0" xfId="0"/>
    <xf numFmtId="0" fontId="0" fillId="0" borderId="0" xfId="0" applyAlignment="1">
      <alignment vertical="top" wrapText="1"/>
    </xf>
    <xf numFmtId="0" fontId="1" fillId="0" borderId="0" xfId="0" quotePrefix="1" applyFont="1" applyAlignment="1">
      <alignment horizontal="left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4" fillId="23" borderId="0" xfId="0" applyFont="1" applyFill="1" applyAlignment="1">
      <alignment horizontal="left" wrapText="1"/>
    </xf>
    <xf numFmtId="0" fontId="14" fillId="23" borderId="24" xfId="0" applyFont="1" applyFill="1" applyBorder="1" applyAlignment="1">
      <alignment horizontal="left" wrapText="1"/>
    </xf>
    <xf numFmtId="5" fontId="1" fillId="0" borderId="167" xfId="0" applyNumberFormat="1" applyFont="1" applyBorder="1" applyAlignment="1">
      <alignment horizontal="right" wrapText="1"/>
    </xf>
    <xf numFmtId="14" fontId="1" fillId="8" borderId="0" xfId="0" applyNumberFormat="1" applyFont="1" applyFill="1"/>
    <xf numFmtId="171" fontId="7" fillId="8" borderId="0" xfId="0" applyNumberFormat="1" applyFont="1" applyFill="1" applyAlignment="1">
      <alignment horizontal="center" wrapText="1"/>
    </xf>
    <xf numFmtId="0" fontId="1" fillId="8" borderId="0" xfId="0" applyFont="1" applyFill="1"/>
    <xf numFmtId="0" fontId="1" fillId="0" borderId="6" xfId="0" applyFont="1" applyBorder="1" applyAlignment="1">
      <alignment vertical="top" wrapText="1"/>
    </xf>
    <xf numFmtId="0" fontId="6" fillId="0" borderId="38" xfId="0" applyFont="1" applyBorder="1" applyAlignment="1" applyProtection="1">
      <alignment textRotation="90" wrapText="1"/>
      <protection locked="0"/>
    </xf>
    <xf numFmtId="0" fontId="6" fillId="0" borderId="39" xfId="0" applyFont="1" applyBorder="1" applyAlignment="1" applyProtection="1">
      <alignment textRotation="90" wrapText="1"/>
      <protection locked="0"/>
    </xf>
    <xf numFmtId="0" fontId="6" fillId="0" borderId="37" xfId="0" applyFont="1" applyBorder="1" applyAlignment="1" applyProtection="1">
      <alignment textRotation="90" wrapText="1"/>
      <protection locked="0"/>
    </xf>
    <xf numFmtId="0" fontId="3" fillId="0" borderId="100" xfId="0" applyFont="1" applyBorder="1" applyAlignment="1" applyProtection="1">
      <alignment horizontal="left" textRotation="90" wrapText="1"/>
      <protection locked="0"/>
    </xf>
    <xf numFmtId="0" fontId="3" fillId="0" borderId="37" xfId="0" applyFont="1" applyBorder="1" applyAlignment="1" applyProtection="1">
      <alignment horizontal="left" textRotation="90" wrapText="1"/>
      <protection locked="0"/>
    </xf>
    <xf numFmtId="0" fontId="3" fillId="0" borderId="41" xfId="0" applyFont="1" applyBorder="1" applyAlignment="1" applyProtection="1">
      <alignment horizontal="left" textRotation="90" wrapText="1"/>
      <protection locked="0"/>
    </xf>
    <xf numFmtId="0" fontId="3" fillId="0" borderId="39" xfId="0" applyFont="1" applyBorder="1" applyAlignment="1" applyProtection="1">
      <alignment horizontal="left" textRotation="90" wrapText="1"/>
      <protection locked="0"/>
    </xf>
    <xf numFmtId="0" fontId="3" fillId="0" borderId="2" xfId="0" applyFont="1" applyBorder="1" applyAlignment="1" applyProtection="1">
      <alignment horizontal="left" textRotation="90" wrapText="1"/>
      <protection locked="0"/>
    </xf>
    <xf numFmtId="0" fontId="3" fillId="0" borderId="38" xfId="0" applyFont="1" applyBorder="1" applyAlignment="1" applyProtection="1">
      <alignment horizontal="left" textRotation="90" wrapText="1"/>
      <protection locked="0"/>
    </xf>
    <xf numFmtId="3" fontId="29" fillId="3" borderId="120" xfId="0" applyNumberFormat="1" applyFont="1" applyFill="1" applyBorder="1" applyAlignment="1">
      <alignment horizontal="right" vertical="top" wrapText="1"/>
    </xf>
    <xf numFmtId="164" fontId="29" fillId="4" borderId="122" xfId="0" applyNumberFormat="1" applyFont="1" applyFill="1" applyBorder="1" applyAlignment="1">
      <alignment horizontal="right" vertical="top" wrapText="1"/>
    </xf>
    <xf numFmtId="0" fontId="30" fillId="25" borderId="192" xfId="0" applyFont="1" applyFill="1" applyBorder="1" applyAlignment="1">
      <alignment horizontal="center" vertical="center"/>
    </xf>
    <xf numFmtId="0" fontId="30" fillId="0" borderId="193" xfId="0" applyFont="1" applyBorder="1" applyAlignment="1">
      <alignment horizontal="center" vertical="center"/>
    </xf>
    <xf numFmtId="0" fontId="16" fillId="0" borderId="194" xfId="0" applyFont="1" applyBorder="1" applyAlignment="1">
      <alignment wrapText="1"/>
    </xf>
    <xf numFmtId="0" fontId="16" fillId="0" borderId="195" xfId="0" applyFont="1" applyBorder="1" applyAlignment="1">
      <alignment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1" fillId="0" borderId="196" xfId="0" applyFont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12" xfId="0" applyFont="1" applyBorder="1" applyAlignment="1">
      <alignment horizontal="center" vertical="center" wrapText="1"/>
    </xf>
    <xf numFmtId="0" fontId="38" fillId="0" borderId="197" xfId="0" applyFont="1" applyBorder="1" applyAlignment="1">
      <alignment horizontal="center" vertical="center"/>
    </xf>
    <xf numFmtId="0" fontId="38" fillId="0" borderId="193" xfId="0" applyFont="1" applyBorder="1" applyAlignment="1">
      <alignment horizontal="center" vertical="center"/>
    </xf>
    <xf numFmtId="0" fontId="39" fillId="2" borderId="198" xfId="0" applyFont="1" applyFill="1" applyBorder="1"/>
    <xf numFmtId="0" fontId="39" fillId="2" borderId="198" xfId="0" applyFont="1" applyFill="1" applyBorder="1" applyAlignment="1">
      <alignment horizontal="center" vertical="center"/>
    </xf>
    <xf numFmtId="0" fontId="40" fillId="2" borderId="199" xfId="0" applyFont="1" applyFill="1" applyBorder="1" applyAlignment="1">
      <alignment horizontal="center" vertical="center" wrapText="1"/>
    </xf>
    <xf numFmtId="0" fontId="41" fillId="2" borderId="200" xfId="0" applyFont="1" applyFill="1" applyBorder="1" applyAlignment="1">
      <alignment horizontal="center" vertical="center"/>
    </xf>
    <xf numFmtId="0" fontId="42" fillId="26" borderId="201" xfId="0" applyFont="1" applyFill="1" applyBorder="1"/>
    <xf numFmtId="0" fontId="42" fillId="26" borderId="201" xfId="0" applyFont="1" applyFill="1" applyBorder="1" applyAlignment="1">
      <alignment horizontal="center" vertical="center"/>
    </xf>
    <xf numFmtId="0" fontId="40" fillId="26" borderId="202" xfId="0" applyFont="1" applyFill="1" applyBorder="1" applyAlignment="1">
      <alignment horizontal="center" vertical="center" wrapText="1"/>
    </xf>
    <xf numFmtId="0" fontId="43" fillId="26" borderId="203" xfId="0" applyFont="1" applyFill="1" applyBorder="1" applyAlignment="1">
      <alignment horizontal="center" vertical="center"/>
    </xf>
    <xf numFmtId="0" fontId="39" fillId="0" borderId="0" xfId="0" applyFont="1" applyAlignment="1">
      <alignment vertical="center" textRotation="90"/>
    </xf>
    <xf numFmtId="0" fontId="39" fillId="0" borderId="64" xfId="0" applyFont="1" applyBorder="1" applyAlignment="1">
      <alignment vertical="top"/>
    </xf>
    <xf numFmtId="0" fontId="30" fillId="0" borderId="64" xfId="0" applyFont="1" applyBorder="1" applyAlignment="1">
      <alignment vertical="top"/>
    </xf>
    <xf numFmtId="0" fontId="30" fillId="15" borderId="64" xfId="0" applyFont="1" applyFill="1" applyBorder="1" applyAlignment="1">
      <alignment horizontal="center" vertical="center"/>
    </xf>
    <xf numFmtId="0" fontId="33" fillId="15" borderId="204" xfId="0" applyFont="1" applyFill="1" applyBorder="1" applyAlignment="1" applyProtection="1">
      <alignment horizontal="center" vertical="center" wrapText="1"/>
      <protection locked="0"/>
    </xf>
    <xf numFmtId="0" fontId="30" fillId="0" borderId="192" xfId="0" applyFont="1" applyBorder="1" applyAlignment="1">
      <alignment horizontal="center" vertical="center"/>
    </xf>
    <xf numFmtId="0" fontId="30" fillId="0" borderId="0" xfId="0" applyFont="1"/>
    <xf numFmtId="0" fontId="3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0" fillId="15" borderId="0" xfId="0" applyFont="1" applyFill="1" applyAlignment="1">
      <alignment horizontal="center" vertical="center"/>
    </xf>
    <xf numFmtId="0" fontId="33" fillId="15" borderId="12" xfId="0" applyFont="1" applyFill="1" applyBorder="1" applyAlignment="1" applyProtection="1">
      <alignment horizontal="center" vertical="center" wrapText="1"/>
      <protection locked="0"/>
    </xf>
    <xf numFmtId="0" fontId="30" fillId="0" borderId="205" xfId="0" applyFont="1" applyBorder="1"/>
    <xf numFmtId="0" fontId="40" fillId="0" borderId="205" xfId="0" applyFont="1" applyBorder="1" applyAlignment="1">
      <alignment vertical="top"/>
    </xf>
    <xf numFmtId="0" fontId="33" fillId="0" borderId="205" xfId="0" applyFont="1" applyBorder="1" applyAlignment="1">
      <alignment vertical="top" wrapText="1"/>
    </xf>
    <xf numFmtId="0" fontId="33" fillId="15" borderId="205" xfId="0" applyFont="1" applyFill="1" applyBorder="1" applyAlignment="1">
      <alignment horizontal="center" vertical="center"/>
    </xf>
    <xf numFmtId="0" fontId="33" fillId="27" borderId="206" xfId="0" applyFont="1" applyFill="1" applyBorder="1" applyAlignment="1" applyProtection="1">
      <alignment horizontal="center" vertical="center" wrapText="1"/>
      <protection locked="0"/>
    </xf>
    <xf numFmtId="0" fontId="30" fillId="28" borderId="207" xfId="0" applyFont="1" applyFill="1" applyBorder="1" applyAlignment="1">
      <alignment horizontal="center" vertical="center"/>
    </xf>
    <xf numFmtId="0" fontId="33" fillId="27" borderId="204" xfId="0" applyFont="1" applyFill="1" applyBorder="1" applyAlignment="1" applyProtection="1">
      <alignment horizontal="center" vertical="center" wrapText="1"/>
      <protection locked="0"/>
    </xf>
    <xf numFmtId="0" fontId="45" fillId="0" borderId="64" xfId="0" applyFont="1" applyBorder="1" applyAlignment="1">
      <alignment vertical="top"/>
    </xf>
    <xf numFmtId="1" fontId="30" fillId="29" borderId="192" xfId="0" applyNumberFormat="1" applyFont="1" applyFill="1" applyBorder="1" applyAlignment="1">
      <alignment horizontal="center" vertical="center"/>
    </xf>
    <xf numFmtId="0" fontId="40" fillId="0" borderId="65" xfId="0" applyFont="1" applyBorder="1" applyAlignment="1">
      <alignment vertical="top"/>
    </xf>
    <xf numFmtId="0" fontId="33" fillId="0" borderId="65" xfId="0" applyFont="1" applyBorder="1" applyAlignment="1">
      <alignment vertical="top" wrapText="1"/>
    </xf>
    <xf numFmtId="2" fontId="30" fillId="15" borderId="66" xfId="0" applyNumberFormat="1" applyFont="1" applyFill="1" applyBorder="1" applyAlignment="1">
      <alignment horizontal="center" vertical="center"/>
    </xf>
    <xf numFmtId="0" fontId="30" fillId="15" borderId="66" xfId="0" applyFont="1" applyFill="1" applyBorder="1" applyAlignment="1">
      <alignment horizontal="center" vertical="center"/>
    </xf>
    <xf numFmtId="0" fontId="33" fillId="15" borderId="208" xfId="0" applyFont="1" applyFill="1" applyBorder="1" applyAlignment="1" applyProtection="1">
      <alignment horizontal="center" vertical="center" wrapText="1"/>
      <protection locked="0"/>
    </xf>
    <xf numFmtId="2" fontId="30" fillId="0" borderId="209" xfId="0" applyNumberFormat="1" applyFont="1" applyBorder="1" applyAlignment="1">
      <alignment horizontal="center" vertical="center"/>
    </xf>
    <xf numFmtId="0" fontId="47" fillId="15" borderId="210" xfId="0" applyFont="1" applyFill="1" applyBorder="1" applyAlignment="1" applyProtection="1">
      <alignment horizontal="center" vertical="center"/>
      <protection locked="0"/>
    </xf>
    <xf numFmtId="0" fontId="30" fillId="0" borderId="209" xfId="0" applyFont="1" applyBorder="1" applyAlignment="1">
      <alignment horizontal="center" vertical="center"/>
    </xf>
    <xf numFmtId="0" fontId="30" fillId="0" borderId="64" xfId="0" applyFont="1" applyBorder="1" applyAlignment="1">
      <alignment vertical="top" wrapText="1"/>
    </xf>
    <xf numFmtId="0" fontId="33" fillId="30" borderId="210" xfId="0" applyFont="1" applyFill="1" applyBorder="1" applyAlignment="1" applyProtection="1">
      <alignment horizontal="center" vertical="center" wrapText="1"/>
      <protection locked="0"/>
    </xf>
    <xf numFmtId="49" fontId="30" fillId="0" borderId="209" xfId="0" applyNumberFormat="1" applyFont="1" applyBorder="1" applyAlignment="1">
      <alignment horizontal="center" vertical="center"/>
    </xf>
    <xf numFmtId="0" fontId="33" fillId="31" borderId="204" xfId="0" applyFont="1" applyFill="1" applyBorder="1" applyAlignment="1" applyProtection="1">
      <alignment horizontal="center" vertical="center" wrapText="1"/>
      <protection locked="0"/>
    </xf>
    <xf numFmtId="0" fontId="30" fillId="32" borderId="193" xfId="0" applyFont="1" applyFill="1" applyBorder="1" applyAlignment="1">
      <alignment horizontal="center" vertical="center"/>
    </xf>
    <xf numFmtId="0" fontId="30" fillId="33" borderId="76" xfId="0" applyFont="1" applyFill="1" applyBorder="1" applyAlignment="1">
      <alignment horizontal="center" vertical="center"/>
    </xf>
    <xf numFmtId="0" fontId="30" fillId="28" borderId="211" xfId="0" applyFont="1" applyFill="1" applyBorder="1" applyAlignment="1">
      <alignment horizontal="center" vertical="center"/>
    </xf>
    <xf numFmtId="0" fontId="42" fillId="26" borderId="212" xfId="0" applyFont="1" applyFill="1" applyBorder="1"/>
    <xf numFmtId="0" fontId="42" fillId="34" borderId="212" xfId="0" applyFont="1" applyFill="1" applyBorder="1" applyAlignment="1">
      <alignment vertical="top"/>
    </xf>
    <xf numFmtId="0" fontId="43" fillId="34" borderId="212" xfId="0" applyFont="1" applyFill="1" applyBorder="1" applyAlignment="1">
      <alignment vertical="top" wrapText="1"/>
    </xf>
    <xf numFmtId="0" fontId="43" fillId="34" borderId="212" xfId="0" applyFont="1" applyFill="1" applyBorder="1" applyAlignment="1">
      <alignment horizontal="center" vertical="center"/>
    </xf>
    <xf numFmtId="0" fontId="33" fillId="34" borderId="213" xfId="0" applyFont="1" applyFill="1" applyBorder="1" applyAlignment="1">
      <alignment horizontal="center" vertical="center"/>
    </xf>
    <xf numFmtId="0" fontId="43" fillId="34" borderId="214" xfId="0" applyFont="1" applyFill="1" applyBorder="1" applyAlignment="1">
      <alignment horizontal="center" vertical="center"/>
    </xf>
    <xf numFmtId="0" fontId="31" fillId="19" borderId="63" xfId="0" applyFont="1" applyFill="1" applyBorder="1"/>
    <xf numFmtId="0" fontId="39" fillId="35" borderId="63" xfId="0" applyFont="1" applyFill="1" applyBorder="1"/>
    <xf numFmtId="0" fontId="33" fillId="19" borderId="63" xfId="0" applyFont="1" applyFill="1" applyBorder="1" applyAlignment="1">
      <alignment wrapText="1"/>
    </xf>
    <xf numFmtId="0" fontId="30" fillId="33" borderId="63" xfId="0" applyFont="1" applyFill="1" applyBorder="1" applyAlignment="1">
      <alignment horizontal="center" vertical="center"/>
    </xf>
    <xf numFmtId="1" fontId="30" fillId="33" borderId="63" xfId="0" applyNumberFormat="1" applyFont="1" applyFill="1" applyBorder="1" applyAlignment="1">
      <alignment horizontal="center" vertical="center"/>
    </xf>
    <xf numFmtId="1" fontId="33" fillId="33" borderId="146" xfId="0" applyNumberFormat="1" applyFont="1" applyFill="1" applyBorder="1" applyAlignment="1">
      <alignment horizontal="center" vertical="center" wrapText="1"/>
    </xf>
    <xf numFmtId="0" fontId="43" fillId="34" borderId="215" xfId="0" applyFont="1" applyFill="1" applyBorder="1" applyAlignment="1">
      <alignment vertical="top"/>
    </xf>
    <xf numFmtId="0" fontId="39" fillId="36" borderId="71" xfId="0" applyFont="1" applyFill="1" applyBorder="1"/>
    <xf numFmtId="0" fontId="30" fillId="36" borderId="71" xfId="0" applyFont="1" applyFill="1" applyBorder="1" applyAlignment="1">
      <alignment wrapText="1"/>
    </xf>
    <xf numFmtId="1" fontId="30" fillId="18" borderId="192" xfId="0" applyNumberFormat="1" applyFont="1" applyFill="1" applyBorder="1" applyAlignment="1">
      <alignment horizontal="center" vertical="center"/>
    </xf>
    <xf numFmtId="0" fontId="30" fillId="36" borderId="71" xfId="0" applyFont="1" applyFill="1" applyBorder="1"/>
    <xf numFmtId="1" fontId="30" fillId="15" borderId="66" xfId="0" applyNumberFormat="1" applyFont="1" applyFill="1" applyBorder="1" applyAlignment="1">
      <alignment horizontal="center" vertical="center"/>
    </xf>
    <xf numFmtId="1" fontId="33" fillId="15" borderId="210" xfId="0" applyNumberFormat="1" applyFont="1" applyFill="1" applyBorder="1" applyAlignment="1" applyProtection="1">
      <alignment horizontal="center" vertical="center" wrapText="1"/>
      <protection locked="0"/>
    </xf>
    <xf numFmtId="0" fontId="40" fillId="36" borderId="71" xfId="0" applyFont="1" applyFill="1" applyBorder="1"/>
    <xf numFmtId="1" fontId="33" fillId="15" borderId="20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63" xfId="0" applyFont="1" applyBorder="1"/>
    <xf numFmtId="0" fontId="39" fillId="36" borderId="63" xfId="0" applyFont="1" applyFill="1" applyBorder="1"/>
    <xf numFmtId="0" fontId="30" fillId="36" borderId="63" xfId="0" applyFont="1" applyFill="1" applyBorder="1"/>
    <xf numFmtId="0" fontId="30" fillId="15" borderId="67" xfId="0" applyFont="1" applyFill="1" applyBorder="1" applyAlignment="1">
      <alignment horizontal="center" vertical="center"/>
    </xf>
    <xf numFmtId="1" fontId="33" fillId="15" borderId="216" xfId="0" applyNumberFormat="1" applyFont="1" applyFill="1" applyBorder="1" applyAlignment="1" applyProtection="1">
      <alignment horizontal="center" vertical="center" wrapText="1"/>
      <protection locked="0"/>
    </xf>
    <xf numFmtId="1" fontId="30" fillId="18" borderId="215" xfId="0" applyNumberFormat="1" applyFont="1" applyFill="1" applyBorder="1" applyAlignment="1">
      <alignment horizontal="center" vertical="center"/>
    </xf>
    <xf numFmtId="0" fontId="39" fillId="0" borderId="0" xfId="0" applyFont="1"/>
    <xf numFmtId="0" fontId="30" fillId="0" borderId="73" xfId="0" applyFont="1" applyBorder="1"/>
    <xf numFmtId="0" fontId="30" fillId="0" borderId="63" xfId="0" applyFont="1" applyBorder="1" applyAlignment="1">
      <alignment horizontal="center" vertical="center"/>
    </xf>
    <xf numFmtId="0" fontId="33" fillId="31" borderId="204" xfId="0" applyFont="1" applyFill="1" applyBorder="1" applyAlignment="1">
      <alignment horizontal="center" vertical="center" wrapText="1"/>
    </xf>
    <xf numFmtId="1" fontId="30" fillId="0" borderId="217" xfId="0" applyNumberFormat="1" applyFont="1" applyBorder="1" applyAlignment="1">
      <alignment horizontal="center" vertical="center"/>
    </xf>
    <xf numFmtId="0" fontId="39" fillId="0" borderId="218" xfId="0" applyFont="1" applyBorder="1"/>
    <xf numFmtId="0" fontId="30" fillId="0" borderId="71" xfId="0" applyFont="1" applyBorder="1" applyAlignment="1">
      <alignment wrapText="1"/>
    </xf>
    <xf numFmtId="0" fontId="30" fillId="27" borderId="64" xfId="0" applyFont="1" applyFill="1" applyBorder="1" applyAlignment="1">
      <alignment horizontal="center" vertical="center"/>
    </xf>
    <xf numFmtId="1" fontId="30" fillId="27" borderId="64" xfId="0" applyNumberFormat="1" applyFont="1" applyFill="1" applyBorder="1" applyAlignment="1">
      <alignment horizontal="center" vertical="center"/>
    </xf>
    <xf numFmtId="1" fontId="33" fillId="27" borderId="204" xfId="0" applyNumberFormat="1" applyFont="1" applyFill="1" applyBorder="1" applyAlignment="1" applyProtection="1">
      <alignment horizontal="center" vertical="center" wrapText="1"/>
      <protection locked="0"/>
    </xf>
    <xf numFmtId="0" fontId="30" fillId="18" borderId="192" xfId="0" applyFont="1" applyFill="1" applyBorder="1" applyAlignment="1">
      <alignment horizontal="center" vertical="center"/>
    </xf>
    <xf numFmtId="0" fontId="39" fillId="0" borderId="71" xfId="0" applyFont="1" applyBorder="1"/>
    <xf numFmtId="0" fontId="30" fillId="0" borderId="71" xfId="0" applyFont="1" applyBorder="1"/>
    <xf numFmtId="9" fontId="30" fillId="15" borderId="64" xfId="0" applyNumberFormat="1" applyFont="1" applyFill="1" applyBorder="1" applyAlignment="1">
      <alignment horizontal="center" vertical="center"/>
    </xf>
    <xf numFmtId="9" fontId="30" fillId="18" borderId="192" xfId="0" applyNumberFormat="1" applyFont="1" applyFill="1" applyBorder="1" applyAlignment="1">
      <alignment horizontal="center" vertical="center"/>
    </xf>
    <xf numFmtId="0" fontId="40" fillId="0" borderId="71" xfId="0" applyFont="1" applyBorder="1"/>
    <xf numFmtId="0" fontId="39" fillId="0" borderId="63" xfId="0" applyFont="1" applyBorder="1"/>
    <xf numFmtId="0" fontId="39" fillId="0" borderId="73" xfId="0" applyFont="1" applyBorder="1"/>
    <xf numFmtId="0" fontId="30" fillId="0" borderId="219" xfId="0" applyFont="1" applyBorder="1"/>
    <xf numFmtId="9" fontId="30" fillId="15" borderId="73" xfId="0" applyNumberFormat="1" applyFont="1" applyFill="1" applyBorder="1" applyAlignment="1">
      <alignment horizontal="center" vertical="center"/>
    </xf>
    <xf numFmtId="9" fontId="30" fillId="15" borderId="220" xfId="0" applyNumberFormat="1" applyFont="1" applyFill="1" applyBorder="1" applyAlignment="1">
      <alignment horizontal="center" vertical="center"/>
    </xf>
    <xf numFmtId="9" fontId="33" fillId="15" borderId="216" xfId="0" applyNumberFormat="1" applyFont="1" applyFill="1" applyBorder="1" applyAlignment="1" applyProtection="1">
      <alignment horizontal="center" vertical="center" wrapText="1"/>
      <protection locked="0"/>
    </xf>
    <xf numFmtId="0" fontId="31" fillId="18" borderId="0" xfId="0" applyFont="1" applyFill="1"/>
    <xf numFmtId="0" fontId="30" fillId="0" borderId="221" xfId="0" applyFont="1" applyBorder="1"/>
    <xf numFmtId="9" fontId="30" fillId="15" borderId="0" xfId="0" applyNumberFormat="1" applyFont="1" applyFill="1" applyAlignment="1">
      <alignment horizontal="center" vertical="center"/>
    </xf>
    <xf numFmtId="0" fontId="33" fillId="31" borderId="12" xfId="0" applyFont="1" applyFill="1" applyBorder="1" applyAlignment="1">
      <alignment horizontal="center" vertical="center" wrapText="1"/>
    </xf>
    <xf numFmtId="9" fontId="30" fillId="18" borderId="222" xfId="0" applyNumberFormat="1" applyFont="1" applyFill="1" applyBorder="1" applyAlignment="1">
      <alignment horizontal="center" vertical="center"/>
    </xf>
    <xf numFmtId="0" fontId="42" fillId="34" borderId="0" xfId="0" applyFont="1" applyFill="1"/>
    <xf numFmtId="0" fontId="42" fillId="34" borderId="0" xfId="0" applyFont="1" applyFill="1" applyAlignment="1">
      <alignment vertical="top"/>
    </xf>
    <xf numFmtId="0" fontId="43" fillId="34" borderId="0" xfId="0" applyFont="1" applyFill="1" applyAlignment="1">
      <alignment vertical="top"/>
    </xf>
    <xf numFmtId="0" fontId="43" fillId="34" borderId="0" xfId="0" applyFont="1" applyFill="1" applyAlignment="1">
      <alignment horizontal="center" vertical="center"/>
    </xf>
    <xf numFmtId="0" fontId="43" fillId="34" borderId="223" xfId="0" applyFont="1" applyFill="1" applyBorder="1" applyAlignment="1">
      <alignment horizontal="center" vertical="center"/>
    </xf>
    <xf numFmtId="0" fontId="33" fillId="34" borderId="0" xfId="0" applyFont="1" applyFill="1" applyAlignment="1">
      <alignment horizontal="center" vertical="center"/>
    </xf>
    <xf numFmtId="0" fontId="32" fillId="26" borderId="0" xfId="0" applyFont="1" applyFill="1" applyAlignment="1">
      <alignment vertical="center" textRotation="90"/>
    </xf>
    <xf numFmtId="0" fontId="42" fillId="26" borderId="71" xfId="0" applyFont="1" applyFill="1" applyBorder="1"/>
    <xf numFmtId="0" fontId="47" fillId="26" borderId="71" xfId="0" applyFont="1" applyFill="1" applyBorder="1"/>
    <xf numFmtId="0" fontId="47" fillId="26" borderId="64" xfId="0" applyFont="1" applyFill="1" applyBorder="1" applyAlignment="1">
      <alignment horizontal="center" vertical="center"/>
    </xf>
    <xf numFmtId="1" fontId="47" fillId="26" borderId="64" xfId="0" applyNumberFormat="1" applyFont="1" applyFill="1" applyBorder="1" applyAlignment="1">
      <alignment horizontal="center" vertical="center"/>
    </xf>
    <xf numFmtId="1" fontId="33" fillId="26" borderId="204" xfId="0" applyNumberFormat="1" applyFont="1" applyFill="1" applyBorder="1" applyAlignment="1">
      <alignment horizontal="center" vertical="center" wrapText="1"/>
    </xf>
    <xf numFmtId="0" fontId="43" fillId="34" borderId="193" xfId="0" applyFont="1" applyFill="1" applyBorder="1" applyAlignment="1">
      <alignment horizontal="center" vertical="center"/>
    </xf>
    <xf numFmtId="0" fontId="31" fillId="35" borderId="63" xfId="0" applyFont="1" applyFill="1" applyBorder="1"/>
    <xf numFmtId="0" fontId="33" fillId="35" borderId="63" xfId="0" applyFont="1" applyFill="1" applyBorder="1" applyAlignment="1">
      <alignment wrapText="1"/>
    </xf>
    <xf numFmtId="1" fontId="33" fillId="30" borderId="146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textRotation="90"/>
    </xf>
    <xf numFmtId="1" fontId="33" fillId="30" borderId="20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/>
    <xf numFmtId="0" fontId="39" fillId="36" borderId="71" xfId="0" applyFont="1" applyFill="1" applyBorder="1" applyAlignment="1">
      <alignment horizontal="left"/>
    </xf>
    <xf numFmtId="1" fontId="30" fillId="28" borderId="192" xfId="0" applyNumberFormat="1" applyFont="1" applyFill="1" applyBorder="1" applyAlignment="1">
      <alignment horizontal="center" vertical="center"/>
    </xf>
    <xf numFmtId="0" fontId="47" fillId="0" borderId="63" xfId="0" applyFont="1" applyBorder="1"/>
    <xf numFmtId="0" fontId="39" fillId="36" borderId="63" xfId="0" applyFont="1" applyFill="1" applyBorder="1" applyAlignment="1">
      <alignment horizontal="left"/>
    </xf>
    <xf numFmtId="0" fontId="30" fillId="15" borderId="63" xfId="0" applyFont="1" applyFill="1" applyBorder="1" applyAlignment="1">
      <alignment horizontal="center" vertical="center"/>
    </xf>
    <xf numFmtId="0" fontId="33" fillId="15" borderId="146" xfId="0" applyFont="1" applyFill="1" applyBorder="1" applyAlignment="1" applyProtection="1">
      <alignment horizontal="center" vertical="center" wrapText="1"/>
      <protection locked="0"/>
    </xf>
    <xf numFmtId="1" fontId="30" fillId="28" borderId="215" xfId="0" applyNumberFormat="1" applyFont="1" applyFill="1" applyBorder="1" applyAlignment="1">
      <alignment horizontal="center" vertical="center"/>
    </xf>
    <xf numFmtId="0" fontId="40" fillId="0" borderId="73" xfId="0" applyFont="1" applyBorder="1"/>
    <xf numFmtId="0" fontId="33" fillId="0" borderId="73" xfId="0" applyFont="1" applyBorder="1"/>
    <xf numFmtId="1" fontId="30" fillId="15" borderId="0" xfId="0" applyNumberFormat="1" applyFont="1" applyFill="1" applyAlignment="1">
      <alignment horizontal="center" vertical="center"/>
    </xf>
    <xf numFmtId="1" fontId="33" fillId="30" borderId="224" xfId="0" applyNumberFormat="1" applyFont="1" applyFill="1" applyBorder="1" applyProtection="1">
      <protection locked="0"/>
    </xf>
    <xf numFmtId="0" fontId="47" fillId="26" borderId="0" xfId="0" applyFont="1" applyFill="1"/>
    <xf numFmtId="0" fontId="42" fillId="26" borderId="0" xfId="0" applyFont="1" applyFill="1" applyAlignment="1">
      <alignment horizontal="left"/>
    </xf>
    <xf numFmtId="1" fontId="47" fillId="26" borderId="0" xfId="0" applyNumberFormat="1" applyFont="1" applyFill="1" applyAlignment="1">
      <alignment horizontal="center" vertical="center"/>
    </xf>
    <xf numFmtId="1" fontId="33" fillId="26" borderId="12" xfId="0" applyNumberFormat="1" applyFont="1" applyFill="1" applyBorder="1" applyAlignment="1">
      <alignment horizontal="center" vertical="center" wrapText="1"/>
    </xf>
    <xf numFmtId="0" fontId="43" fillId="34" borderId="225" xfId="0" applyFont="1" applyFill="1" applyBorder="1" applyAlignment="1">
      <alignment horizontal="center" vertical="center"/>
    </xf>
    <xf numFmtId="0" fontId="40" fillId="36" borderId="0" xfId="0" applyFont="1" applyFill="1"/>
    <xf numFmtId="0" fontId="33" fillId="36" borderId="0" xfId="0" applyFont="1" applyFill="1"/>
    <xf numFmtId="0" fontId="33" fillId="15" borderId="141" xfId="0" applyFont="1" applyFill="1" applyBorder="1" applyAlignment="1" applyProtection="1">
      <alignment horizontal="center" vertical="center"/>
      <protection locked="0"/>
    </xf>
    <xf numFmtId="1" fontId="30" fillId="0" borderId="192" xfId="0" applyNumberFormat="1" applyFont="1" applyBorder="1" applyAlignment="1">
      <alignment horizontal="center" vertical="center"/>
    </xf>
    <xf numFmtId="0" fontId="40" fillId="36" borderId="205" xfId="0" applyFont="1" applyFill="1" applyBorder="1" applyAlignment="1">
      <alignment horizontal="left"/>
    </xf>
    <xf numFmtId="0" fontId="33" fillId="36" borderId="205" xfId="0" applyFont="1" applyFill="1" applyBorder="1"/>
    <xf numFmtId="0" fontId="30" fillId="15" borderId="205" xfId="0" applyFont="1" applyFill="1" applyBorder="1" applyAlignment="1">
      <alignment horizontal="center" vertical="center"/>
    </xf>
    <xf numFmtId="0" fontId="33" fillId="37" borderId="206" xfId="0" applyFont="1" applyFill="1" applyBorder="1" applyAlignment="1" applyProtection="1">
      <alignment horizontal="center" vertical="center" wrapText="1"/>
      <protection locked="0"/>
    </xf>
    <xf numFmtId="0" fontId="40" fillId="36" borderId="63" xfId="0" applyFont="1" applyFill="1" applyBorder="1" applyAlignment="1">
      <alignment horizontal="left"/>
    </xf>
    <xf numFmtId="0" fontId="33" fillId="36" borderId="63" xfId="0" applyFont="1" applyFill="1" applyBorder="1"/>
    <xf numFmtId="0" fontId="33" fillId="37" borderId="146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/>
    </xf>
    <xf numFmtId="0" fontId="33" fillId="0" borderId="0" xfId="0" applyFont="1"/>
    <xf numFmtId="1" fontId="33" fillId="30" borderId="12" xfId="0" applyNumberFormat="1" applyFont="1" applyFill="1" applyBorder="1" applyAlignment="1" applyProtection="1">
      <alignment horizontal="center" vertical="center" wrapText="1"/>
      <protection locked="0"/>
    </xf>
    <xf numFmtId="1" fontId="31" fillId="0" borderId="193" xfId="0" applyNumberFormat="1" applyFont="1" applyBorder="1" applyAlignment="1">
      <alignment horizontal="center" vertical="center"/>
    </xf>
    <xf numFmtId="0" fontId="42" fillId="34" borderId="74" xfId="0" applyFont="1" applyFill="1" applyBorder="1"/>
    <xf numFmtId="0" fontId="42" fillId="34" borderId="74" xfId="0" applyFont="1" applyFill="1" applyBorder="1" applyAlignment="1">
      <alignment vertical="top"/>
    </xf>
    <xf numFmtId="0" fontId="43" fillId="34" borderId="74" xfId="0" applyFont="1" applyFill="1" applyBorder="1" applyAlignment="1">
      <alignment vertical="top"/>
    </xf>
    <xf numFmtId="0" fontId="43" fillId="34" borderId="74" xfId="0" applyFont="1" applyFill="1" applyBorder="1" applyAlignment="1">
      <alignment horizontal="center" vertical="center"/>
    </xf>
    <xf numFmtId="0" fontId="33" fillId="34" borderId="226" xfId="0" applyFont="1" applyFill="1" applyBorder="1" applyAlignment="1">
      <alignment horizontal="center" vertical="center" wrapText="1"/>
    </xf>
    <xf numFmtId="0" fontId="43" fillId="34" borderId="227" xfId="0" applyFont="1" applyFill="1" applyBorder="1" applyAlignment="1">
      <alignment horizontal="center" vertical="center"/>
    </xf>
    <xf numFmtId="0" fontId="39" fillId="0" borderId="71" xfId="0" applyFont="1" applyBorder="1" applyAlignment="1">
      <alignment horizontal="left"/>
    </xf>
    <xf numFmtId="1" fontId="30" fillId="15" borderId="64" xfId="0" applyNumberFormat="1" applyFont="1" applyFill="1" applyBorder="1" applyAlignment="1">
      <alignment horizontal="center" vertical="center"/>
    </xf>
    <xf numFmtId="1" fontId="33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30" fillId="0" borderId="211" xfId="0" applyNumberFormat="1" applyFont="1" applyBorder="1" applyAlignment="1">
      <alignment horizontal="center" vertical="center"/>
    </xf>
    <xf numFmtId="0" fontId="40" fillId="0" borderId="71" xfId="0" applyFont="1" applyBorder="1" applyAlignment="1">
      <alignment horizontal="left"/>
    </xf>
    <xf numFmtId="0" fontId="33" fillId="0" borderId="71" xfId="0" applyFont="1" applyBorder="1"/>
    <xf numFmtId="1" fontId="30" fillId="15" borderId="67" xfId="0" applyNumberFormat="1" applyFont="1" applyFill="1" applyBorder="1" applyAlignment="1">
      <alignment horizontal="center" vertical="center"/>
    </xf>
    <xf numFmtId="1" fontId="33" fillId="15" borderId="224" xfId="0" applyNumberFormat="1" applyFont="1" applyFill="1" applyBorder="1" applyAlignment="1" applyProtection="1">
      <alignment horizontal="center" vertical="center" wrapText="1"/>
      <protection locked="0"/>
    </xf>
    <xf numFmtId="1" fontId="30" fillId="0" borderId="228" xfId="0" applyNumberFormat="1" applyFont="1" applyBorder="1" applyAlignment="1">
      <alignment horizontal="center" vertical="center"/>
    </xf>
    <xf numFmtId="1" fontId="33" fillId="15" borderId="12" xfId="0" applyNumberFormat="1" applyFont="1" applyFill="1" applyBorder="1" applyAlignment="1">
      <alignment horizontal="center" vertical="center" wrapText="1"/>
    </xf>
    <xf numFmtId="1" fontId="30" fillId="32" borderId="217" xfId="0" applyNumberFormat="1" applyFont="1" applyFill="1" applyBorder="1" applyAlignment="1">
      <alignment horizontal="center" vertical="center"/>
    </xf>
    <xf numFmtId="0" fontId="42" fillId="34" borderId="229" xfId="0" applyFont="1" applyFill="1" applyBorder="1"/>
    <xf numFmtId="0" fontId="42" fillId="34" borderId="70" xfId="0" applyFont="1" applyFill="1" applyBorder="1" applyAlignment="1">
      <alignment vertical="top"/>
    </xf>
    <xf numFmtId="0" fontId="43" fillId="34" borderId="70" xfId="0" applyFont="1" applyFill="1" applyBorder="1" applyAlignment="1">
      <alignment vertical="top"/>
    </xf>
    <xf numFmtId="0" fontId="43" fillId="34" borderId="70" xfId="0" applyFont="1" applyFill="1" applyBorder="1" applyAlignment="1">
      <alignment horizontal="center" vertical="center"/>
    </xf>
    <xf numFmtId="0" fontId="33" fillId="34" borderId="229" xfId="0" applyFont="1" applyFill="1" applyBorder="1" applyAlignment="1">
      <alignment horizontal="center" vertical="center" wrapText="1"/>
    </xf>
    <xf numFmtId="0" fontId="33" fillId="34" borderId="230" xfId="0" applyFont="1" applyFill="1" applyBorder="1" applyAlignment="1">
      <alignment horizontal="center" vertical="center" wrapText="1"/>
    </xf>
    <xf numFmtId="0" fontId="33" fillId="34" borderId="73" xfId="0" applyFont="1" applyFill="1" applyBorder="1" applyAlignment="1">
      <alignment horizontal="center" vertical="center" wrapText="1"/>
    </xf>
    <xf numFmtId="0" fontId="39" fillId="0" borderId="231" xfId="0" applyFont="1" applyBorder="1"/>
    <xf numFmtId="1" fontId="33" fillId="15" borderId="23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75" xfId="0" applyFont="1" applyBorder="1"/>
    <xf numFmtId="0" fontId="39" fillId="0" borderId="75" xfId="0" applyFont="1" applyBorder="1"/>
    <xf numFmtId="0" fontId="30" fillId="0" borderId="74" xfId="0" applyFont="1" applyBorder="1" applyAlignment="1">
      <alignment vertical="center" wrapText="1"/>
    </xf>
    <xf numFmtId="1" fontId="30" fillId="15" borderId="75" xfId="0" applyNumberFormat="1" applyFont="1" applyFill="1" applyBorder="1" applyAlignment="1">
      <alignment horizontal="center" vertical="center"/>
    </xf>
    <xf numFmtId="1" fontId="33" fillId="30" borderId="233" xfId="0" applyNumberFormat="1" applyFont="1" applyFill="1" applyBorder="1" applyAlignment="1">
      <alignment horizontal="center" vertical="center" wrapText="1"/>
    </xf>
    <xf numFmtId="1" fontId="30" fillId="0" borderId="234" xfId="0" applyNumberFormat="1" applyFont="1" applyBorder="1" applyAlignment="1">
      <alignment horizontal="center" vertical="center"/>
    </xf>
    <xf numFmtId="1" fontId="33" fillId="15" borderId="204" xfId="0" applyNumberFormat="1" applyFont="1" applyFill="1" applyBorder="1" applyAlignment="1">
      <alignment horizontal="center" vertical="center" wrapText="1"/>
    </xf>
    <xf numFmtId="1" fontId="30" fillId="0" borderId="193" xfId="0" applyNumberFormat="1" applyFont="1" applyBorder="1" applyAlignment="1">
      <alignment horizontal="center" vertical="center"/>
    </xf>
    <xf numFmtId="1" fontId="33" fillId="15" borderId="210" xfId="0" applyNumberFormat="1" applyFont="1" applyFill="1" applyBorder="1" applyAlignment="1">
      <alignment horizontal="center" vertical="center" wrapText="1"/>
    </xf>
    <xf numFmtId="0" fontId="42" fillId="34" borderId="153" xfId="0" applyFont="1" applyFill="1" applyBorder="1"/>
    <xf numFmtId="0" fontId="42" fillId="34" borderId="22" xfId="0" applyFont="1" applyFill="1" applyBorder="1" applyAlignment="1">
      <alignment vertical="top"/>
    </xf>
    <xf numFmtId="0" fontId="49" fillId="34" borderId="22" xfId="0" applyFont="1" applyFill="1" applyBorder="1"/>
    <xf numFmtId="0" fontId="43" fillId="34" borderId="22" xfId="0" applyFont="1" applyFill="1" applyBorder="1" applyAlignment="1">
      <alignment horizontal="center" vertical="center"/>
    </xf>
    <xf numFmtId="0" fontId="33" fillId="34" borderId="146" xfId="0" applyFont="1" applyFill="1" applyBorder="1" applyAlignment="1">
      <alignment horizontal="center" vertical="center"/>
    </xf>
    <xf numFmtId="0" fontId="43" fillId="34" borderId="235" xfId="0" applyFont="1" applyFill="1" applyBorder="1" applyAlignment="1">
      <alignment horizontal="center" vertical="center"/>
    </xf>
    <xf numFmtId="1" fontId="30" fillId="0" borderId="236" xfId="0" applyNumberFormat="1" applyFont="1" applyBorder="1" applyAlignment="1">
      <alignment horizontal="center" vertical="center"/>
    </xf>
    <xf numFmtId="9" fontId="30" fillId="0" borderId="192" xfId="0" applyNumberFormat="1" applyFont="1" applyBorder="1" applyAlignment="1">
      <alignment horizontal="center" vertical="center"/>
    </xf>
    <xf numFmtId="0" fontId="39" fillId="0" borderId="73" xfId="0" applyFont="1" applyBorder="1" applyAlignment="1">
      <alignment horizontal="left" vertical="center" wrapText="1"/>
    </xf>
    <xf numFmtId="0" fontId="30" fillId="0" borderId="73" xfId="0" applyFont="1" applyBorder="1" applyAlignment="1">
      <alignment wrapText="1"/>
    </xf>
    <xf numFmtId="1" fontId="30" fillId="15" borderId="73" xfId="0" applyNumberFormat="1" applyFont="1" applyFill="1" applyBorder="1" applyAlignment="1">
      <alignment horizontal="center" vertical="center"/>
    </xf>
    <xf numFmtId="9" fontId="30" fillId="0" borderId="217" xfId="0" applyNumberFormat="1" applyFont="1" applyBorder="1" applyAlignment="1">
      <alignment horizontal="center" vertical="center"/>
    </xf>
    <xf numFmtId="0" fontId="42" fillId="34" borderId="73" xfId="0" applyFont="1" applyFill="1" applyBorder="1"/>
    <xf numFmtId="0" fontId="42" fillId="34" borderId="237" xfId="0" applyFont="1" applyFill="1" applyBorder="1" applyAlignment="1">
      <alignment vertical="top"/>
    </xf>
    <xf numFmtId="0" fontId="33" fillId="34" borderId="12" xfId="0" applyFont="1" applyFill="1" applyBorder="1" applyAlignment="1">
      <alignment horizontal="center" vertical="center" wrapText="1"/>
    </xf>
    <xf numFmtId="0" fontId="46" fillId="0" borderId="71" xfId="0" applyFont="1" applyBorder="1" applyAlignment="1">
      <alignment vertical="center"/>
    </xf>
    <xf numFmtId="0" fontId="30" fillId="0" borderId="68" xfId="0" applyFont="1" applyBorder="1" applyAlignment="1">
      <alignment wrapText="1"/>
    </xf>
    <xf numFmtId="1" fontId="30" fillId="15" borderId="69" xfId="0" applyNumberFormat="1" applyFont="1" applyFill="1" applyBorder="1" applyAlignment="1">
      <alignment horizontal="center" vertical="center"/>
    </xf>
    <xf numFmtId="1" fontId="33" fillId="15" borderId="238" xfId="0" applyNumberFormat="1" applyFont="1" applyFill="1" applyBorder="1" applyAlignment="1" applyProtection="1">
      <alignment horizontal="center" vertical="center" wrapText="1"/>
      <protection locked="0"/>
    </xf>
    <xf numFmtId="1" fontId="30" fillId="38" borderId="239" xfId="0" applyNumberFormat="1" applyFont="1" applyFill="1" applyBorder="1" applyAlignment="1">
      <alignment horizontal="center" vertical="center"/>
    </xf>
    <xf numFmtId="0" fontId="39" fillId="0" borderId="71" xfId="0" applyFont="1" applyBorder="1" applyAlignment="1">
      <alignment vertical="center"/>
    </xf>
    <xf numFmtId="0" fontId="30" fillId="0" borderId="71" xfId="0" applyFont="1" applyBorder="1" applyAlignment="1">
      <alignment horizontal="left" vertical="top" wrapText="1"/>
    </xf>
    <xf numFmtId="1" fontId="30" fillId="15" borderId="76" xfId="0" applyNumberFormat="1" applyFont="1" applyFill="1" applyBorder="1" applyAlignment="1">
      <alignment horizontal="center" vertical="center" wrapText="1"/>
    </xf>
    <xf numFmtId="1" fontId="30" fillId="28" borderId="211" xfId="0" applyNumberFormat="1" applyFont="1" applyFill="1" applyBorder="1" applyAlignment="1">
      <alignment horizontal="center" vertical="center"/>
    </xf>
    <xf numFmtId="0" fontId="39" fillId="0" borderId="219" xfId="0" applyFont="1" applyBorder="1"/>
    <xf numFmtId="1" fontId="30" fillId="15" borderId="240" xfId="0" applyNumberFormat="1" applyFont="1" applyFill="1" applyBorder="1" applyAlignment="1">
      <alignment horizontal="center" vertical="center"/>
    </xf>
    <xf numFmtId="1" fontId="33" fillId="15" borderId="241" xfId="0" applyNumberFormat="1" applyFont="1" applyFill="1" applyBorder="1" applyAlignment="1" applyProtection="1">
      <alignment horizontal="center" vertical="center" wrapText="1"/>
      <protection locked="0"/>
    </xf>
    <xf numFmtId="0" fontId="42" fillId="34" borderId="242" xfId="0" applyFont="1" applyFill="1" applyBorder="1"/>
    <xf numFmtId="0" fontId="42" fillId="34" borderId="243" xfId="0" applyFont="1" applyFill="1" applyBorder="1" applyAlignment="1">
      <alignment vertical="top"/>
    </xf>
    <xf numFmtId="0" fontId="43" fillId="34" borderId="243" xfId="0" applyFont="1" applyFill="1" applyBorder="1" applyAlignment="1">
      <alignment vertical="top"/>
    </xf>
    <xf numFmtId="0" fontId="43" fillId="34" borderId="243" xfId="0" applyFont="1" applyFill="1" applyBorder="1" applyAlignment="1">
      <alignment horizontal="center" vertical="center"/>
    </xf>
    <xf numFmtId="0" fontId="33" fillId="34" borderId="244" xfId="0" applyFont="1" applyFill="1" applyBorder="1" applyAlignment="1">
      <alignment horizontal="center" vertical="center" wrapText="1"/>
    </xf>
    <xf numFmtId="0" fontId="30" fillId="37" borderId="64" xfId="0" applyFont="1" applyFill="1" applyBorder="1" applyAlignment="1">
      <alignment horizontal="center" vertical="center"/>
    </xf>
    <xf numFmtId="0" fontId="33" fillId="37" borderId="204" xfId="0" applyFont="1" applyFill="1" applyBorder="1" applyAlignment="1" applyProtection="1">
      <alignment horizontal="center" vertical="center" wrapText="1"/>
      <protection locked="0"/>
    </xf>
    <xf numFmtId="0" fontId="30" fillId="38" borderId="192" xfId="0" applyFont="1" applyFill="1" applyBorder="1" applyAlignment="1">
      <alignment horizontal="center" vertical="center"/>
    </xf>
    <xf numFmtId="0" fontId="39" fillId="36" borderId="63" xfId="0" applyFont="1" applyFill="1" applyBorder="1" applyAlignment="1">
      <alignment vertical="center" textRotation="90"/>
    </xf>
    <xf numFmtId="1" fontId="30" fillId="30" borderId="63" xfId="0" applyNumberFormat="1" applyFont="1" applyFill="1" applyBorder="1" applyAlignment="1">
      <alignment horizontal="center" vertical="center"/>
    </xf>
    <xf numFmtId="1" fontId="51" fillId="30" borderId="146" xfId="0" applyNumberFormat="1" applyFont="1" applyFill="1" applyBorder="1" applyAlignment="1" applyProtection="1">
      <alignment horizontal="center" vertical="center" wrapText="1"/>
      <protection locked="0"/>
    </xf>
    <xf numFmtId="0" fontId="43" fillId="34" borderId="215" xfId="0" applyFont="1" applyFill="1" applyBorder="1" applyAlignment="1">
      <alignment horizontal="center" vertical="center"/>
    </xf>
    <xf numFmtId="0" fontId="33" fillId="37" borderId="245" xfId="0" applyFont="1" applyFill="1" applyBorder="1" applyAlignment="1" applyProtection="1">
      <alignment horizontal="center" vertical="center"/>
      <protection locked="0"/>
    </xf>
    <xf numFmtId="0" fontId="39" fillId="36" borderId="72" xfId="0" applyFont="1" applyFill="1" applyBorder="1"/>
    <xf numFmtId="0" fontId="30" fillId="36" borderId="72" xfId="0" applyFont="1" applyFill="1" applyBorder="1"/>
    <xf numFmtId="0" fontId="30" fillId="37" borderId="63" xfId="0" applyFont="1" applyFill="1" applyBorder="1" applyAlignment="1">
      <alignment horizontal="center" vertical="center"/>
    </xf>
    <xf numFmtId="0" fontId="33" fillId="37" borderId="146" xfId="0" applyFont="1" applyFill="1" applyBorder="1" applyAlignment="1" applyProtection="1">
      <alignment horizontal="center" vertical="center"/>
      <protection locked="0"/>
    </xf>
    <xf numFmtId="1" fontId="31" fillId="0" borderId="215" xfId="0" applyNumberFormat="1" applyFont="1" applyBorder="1" applyAlignment="1">
      <alignment horizontal="center" vertical="center"/>
    </xf>
    <xf numFmtId="0" fontId="31" fillId="0" borderId="242" xfId="0" applyFont="1" applyBorder="1"/>
    <xf numFmtId="0" fontId="39" fillId="0" borderId="242" xfId="0" applyFont="1" applyBorder="1" applyAlignment="1">
      <alignment vertical="center"/>
    </xf>
    <xf numFmtId="0" fontId="30" fillId="0" borderId="242" xfId="0" applyFont="1" applyBorder="1" applyAlignment="1">
      <alignment wrapText="1"/>
    </xf>
    <xf numFmtId="0" fontId="30" fillId="37" borderId="242" xfId="0" applyFont="1" applyFill="1" applyBorder="1" applyAlignment="1">
      <alignment horizontal="center" vertical="center"/>
    </xf>
    <xf numFmtId="1" fontId="33" fillId="30" borderId="246" xfId="0" applyNumberFormat="1" applyFont="1" applyFill="1" applyBorder="1" applyAlignment="1" applyProtection="1">
      <alignment horizontal="center" vertical="center" wrapText="1"/>
      <protection locked="0"/>
    </xf>
    <xf numFmtId="1" fontId="30" fillId="13" borderId="222" xfId="0" applyNumberFormat="1" applyFont="1" applyFill="1" applyBorder="1" applyAlignment="1">
      <alignment horizontal="center" vertical="center"/>
    </xf>
    <xf numFmtId="0" fontId="31" fillId="39" borderId="0" xfId="0" applyFont="1" applyFill="1"/>
    <xf numFmtId="0" fontId="31" fillId="39" borderId="247" xfId="0" applyFont="1" applyFill="1" applyBorder="1"/>
    <xf numFmtId="0" fontId="33" fillId="0" borderId="12" xfId="0" applyFont="1" applyBorder="1"/>
    <xf numFmtId="0" fontId="31" fillId="0" borderId="248" xfId="0" applyFont="1" applyBorder="1"/>
    <xf numFmtId="0" fontId="31" fillId="0" borderId="196" xfId="0" applyFont="1" applyBorder="1"/>
    <xf numFmtId="0" fontId="31" fillId="0" borderId="249" xfId="0" applyFont="1" applyBorder="1"/>
    <xf numFmtId="0" fontId="52" fillId="0" borderId="192" xfId="0" applyFont="1" applyBorder="1" applyAlignment="1">
      <alignment horizontal="center" vertical="center"/>
    </xf>
    <xf numFmtId="0" fontId="52" fillId="25" borderId="192" xfId="0" applyFont="1" applyFill="1" applyBorder="1" applyAlignment="1">
      <alignment horizontal="center" vertical="center"/>
    </xf>
    <xf numFmtId="1" fontId="52" fillId="29" borderId="192" xfId="0" applyNumberFormat="1" applyFont="1" applyFill="1" applyBorder="1" applyAlignment="1">
      <alignment horizontal="center" vertical="center"/>
    </xf>
    <xf numFmtId="0" fontId="52" fillId="28" borderId="207" xfId="0" applyFont="1" applyFill="1" applyBorder="1" applyAlignment="1">
      <alignment horizontal="center" vertical="center"/>
    </xf>
    <xf numFmtId="2" fontId="52" fillId="0" borderId="209" xfId="0" applyNumberFormat="1" applyFont="1" applyBorder="1" applyAlignment="1">
      <alignment horizontal="center" vertical="center"/>
    </xf>
    <xf numFmtId="0" fontId="52" fillId="0" borderId="209" xfId="0" applyFont="1" applyBorder="1" applyAlignment="1">
      <alignment horizontal="center" vertical="center"/>
    </xf>
    <xf numFmtId="1" fontId="52" fillId="18" borderId="192" xfId="0" applyNumberFormat="1" applyFont="1" applyFill="1" applyBorder="1" applyAlignment="1">
      <alignment horizontal="center" vertical="center"/>
    </xf>
    <xf numFmtId="0" fontId="53" fillId="0" borderId="86" xfId="0" applyFont="1" applyBorder="1"/>
    <xf numFmtId="0" fontId="16" fillId="0" borderId="129" xfId="0" applyFont="1" applyBorder="1" applyAlignment="1">
      <alignment wrapText="1"/>
    </xf>
    <xf numFmtId="0" fontId="54" fillId="0" borderId="129" xfId="0" applyFont="1" applyBorder="1"/>
    <xf numFmtId="0" fontId="16" fillId="0" borderId="0" xfId="0" applyFont="1" applyAlignment="1">
      <alignment wrapText="1"/>
    </xf>
    <xf numFmtId="0" fontId="16" fillId="0" borderId="86" xfId="0" applyFont="1" applyBorder="1" applyAlignment="1">
      <alignment wrapText="1"/>
    </xf>
    <xf numFmtId="0" fontId="16" fillId="0" borderId="87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6" fillId="0" borderId="83" xfId="0" applyFont="1" applyBorder="1" applyAlignment="1">
      <alignment wrapText="1"/>
    </xf>
    <xf numFmtId="169" fontId="55" fillId="0" borderId="83" xfId="0" applyNumberFormat="1" applyFont="1" applyBorder="1" applyAlignment="1">
      <alignment wrapText="1"/>
    </xf>
    <xf numFmtId="1" fontId="52" fillId="0" borderId="193" xfId="0" applyNumberFormat="1" applyFont="1" applyBorder="1" applyAlignment="1">
      <alignment horizontal="center" vertical="center"/>
    </xf>
    <xf numFmtId="0" fontId="5" fillId="0" borderId="129" xfId="0" applyFont="1" applyBorder="1" applyAlignment="1">
      <alignment wrapText="1"/>
    </xf>
    <xf numFmtId="1" fontId="52" fillId="0" borderId="236" xfId="0" applyNumberFormat="1" applyFont="1" applyBorder="1" applyAlignment="1">
      <alignment horizontal="center" vertical="center"/>
    </xf>
    <xf numFmtId="9" fontId="52" fillId="0" borderId="192" xfId="0" applyNumberFormat="1" applyFont="1" applyBorder="1" applyAlignment="1">
      <alignment horizontal="center" vertical="center"/>
    </xf>
    <xf numFmtId="9" fontId="52" fillId="0" borderId="217" xfId="0" applyNumberFormat="1" applyFont="1" applyBorder="1" applyAlignment="1">
      <alignment horizontal="center" vertical="center"/>
    </xf>
    <xf numFmtId="0" fontId="16" fillId="0" borderId="250" xfId="0" applyFont="1" applyBorder="1" applyAlignment="1">
      <alignment readingOrder="1"/>
    </xf>
    <xf numFmtId="0" fontId="15" fillId="17" borderId="251" xfId="0" applyFont="1" applyFill="1" applyBorder="1" applyAlignment="1">
      <alignment wrapText="1"/>
    </xf>
    <xf numFmtId="0" fontId="15" fillId="17" borderId="252" xfId="0" applyFont="1" applyFill="1" applyBorder="1" applyAlignment="1">
      <alignment wrapText="1"/>
    </xf>
    <xf numFmtId="0" fontId="16" fillId="0" borderId="253" xfId="0" applyFont="1" applyBorder="1" applyAlignment="1">
      <alignment readingOrder="1"/>
    </xf>
    <xf numFmtId="0" fontId="16" fillId="0" borderId="254" xfId="0" applyFont="1" applyBorder="1" applyAlignment="1">
      <alignment readingOrder="1"/>
    </xf>
    <xf numFmtId="0" fontId="16" fillId="0" borderId="255" xfId="0" applyFont="1" applyBorder="1" applyAlignment="1">
      <alignment readingOrder="1"/>
    </xf>
    <xf numFmtId="0" fontId="16" fillId="0" borderId="256" xfId="0" applyFont="1" applyBorder="1" applyAlignment="1">
      <alignment readingOrder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6" borderId="53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6" fillId="7" borderId="53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5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0" borderId="0" xfId="2" applyAlignment="1" applyProtection="1">
      <alignment vertical="center"/>
      <protection locked="0"/>
    </xf>
    <xf numFmtId="0" fontId="21" fillId="0" borderId="259" xfId="2" applyFont="1" applyBorder="1" applyAlignment="1">
      <alignment vertical="center"/>
    </xf>
    <xf numFmtId="0" fontId="21" fillId="0" borderId="150" xfId="2" applyFont="1" applyBorder="1" applyAlignment="1">
      <alignment vertical="center"/>
    </xf>
    <xf numFmtId="0" fontId="12" fillId="0" borderId="152" xfId="2" applyFont="1" applyBorder="1" applyAlignment="1" applyProtection="1">
      <alignment vertical="center"/>
      <protection locked="0"/>
    </xf>
    <xf numFmtId="0" fontId="21" fillId="0" borderId="262" xfId="2" applyFont="1" applyBorder="1" applyAlignment="1">
      <alignment vertical="center"/>
    </xf>
    <xf numFmtId="0" fontId="12" fillId="0" borderId="259" xfId="2" applyFont="1" applyBorder="1" applyAlignment="1">
      <alignment vertical="center" wrapText="1"/>
    </xf>
    <xf numFmtId="0" fontId="58" fillId="0" borderId="260" xfId="2" applyFont="1" applyBorder="1" applyAlignment="1">
      <alignment horizontal="center" vertical="center"/>
    </xf>
    <xf numFmtId="0" fontId="58" fillId="0" borderId="260" xfId="2" applyFont="1" applyBorder="1" applyAlignment="1">
      <alignment horizontal="center" vertical="center" wrapText="1"/>
    </xf>
    <xf numFmtId="0" fontId="58" fillId="0" borderId="261" xfId="2" applyFont="1" applyBorder="1" applyAlignment="1">
      <alignment vertical="center"/>
    </xf>
    <xf numFmtId="0" fontId="4" fillId="0" borderId="150" xfId="2" applyBorder="1" applyAlignment="1">
      <alignment vertical="center"/>
    </xf>
    <xf numFmtId="0" fontId="4" fillId="10" borderId="152" xfId="2" applyFill="1" applyBorder="1" applyAlignment="1" applyProtection="1">
      <alignment horizontal="center" vertical="center"/>
      <protection locked="0"/>
    </xf>
    <xf numFmtId="1" fontId="4" fillId="10" borderId="152" xfId="2" applyNumberFormat="1" applyFill="1" applyBorder="1" applyAlignment="1" applyProtection="1">
      <alignment horizontal="center" vertical="center"/>
      <protection locked="0"/>
    </xf>
    <xf numFmtId="0" fontId="4" fillId="0" borderId="152" xfId="2" applyBorder="1" applyAlignment="1" applyProtection="1">
      <alignment horizontal="center" vertical="center"/>
      <protection locked="0"/>
    </xf>
    <xf numFmtId="1" fontId="4" fillId="0" borderId="152" xfId="2" applyNumberFormat="1" applyBorder="1" applyAlignment="1">
      <alignment horizontal="center" vertical="center"/>
    </xf>
    <xf numFmtId="0" fontId="4" fillId="0" borderId="155" xfId="2" applyBorder="1" applyAlignment="1" applyProtection="1">
      <alignment vertical="center"/>
      <protection locked="0"/>
    </xf>
    <xf numFmtId="0" fontId="21" fillId="0" borderId="265" xfId="2" applyFont="1" applyBorder="1" applyAlignment="1" applyProtection="1">
      <alignment vertical="center"/>
      <protection locked="0"/>
    </xf>
    <xf numFmtId="0" fontId="4" fillId="0" borderId="265" xfId="2" applyBorder="1" applyAlignment="1" applyProtection="1">
      <alignment horizontal="center" vertical="center"/>
      <protection locked="0"/>
    </xf>
    <xf numFmtId="0" fontId="21" fillId="0" borderId="265" xfId="2" applyFont="1" applyBorder="1" applyAlignment="1" applyProtection="1">
      <alignment horizontal="center" vertical="center"/>
      <protection locked="0"/>
    </xf>
    <xf numFmtId="0" fontId="21" fillId="0" borderId="265" xfId="2" applyFont="1" applyBorder="1" applyAlignment="1">
      <alignment horizontal="center" vertical="center"/>
    </xf>
    <xf numFmtId="0" fontId="4" fillId="0" borderId="266" xfId="2" applyBorder="1" applyAlignment="1" applyProtection="1">
      <alignment vertical="center"/>
      <protection locked="0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0" fontId="12" fillId="0" borderId="144" xfId="2" applyFont="1" applyBorder="1" applyAlignment="1">
      <alignment horizontal="left" vertical="center"/>
    </xf>
    <xf numFmtId="0" fontId="24" fillId="0" borderId="150" xfId="2" applyFont="1" applyBorder="1" applyAlignment="1">
      <alignment vertical="center"/>
    </xf>
    <xf numFmtId="171" fontId="21" fillId="0" borderId="152" xfId="2" applyNumberFormat="1" applyFont="1" applyBorder="1" applyAlignment="1">
      <alignment horizontal="center" vertical="center"/>
    </xf>
    <xf numFmtId="0" fontId="21" fillId="0" borderId="152" xfId="2" applyFont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4" fillId="0" borderId="144" xfId="2" applyBorder="1" applyAlignment="1" applyProtection="1">
      <alignment vertical="center"/>
      <protection locked="0"/>
    </xf>
    <xf numFmtId="0" fontId="59" fillId="0" borderId="0" xfId="2" applyFont="1" applyAlignment="1" applyProtection="1">
      <alignment horizontal="left" vertical="center"/>
      <protection locked="0"/>
    </xf>
    <xf numFmtId="171" fontId="60" fillId="0" borderId="152" xfId="2" applyNumberFormat="1" applyFont="1" applyBorder="1" applyAlignment="1">
      <alignment horizontal="center" vertical="center" wrapText="1"/>
    </xf>
    <xf numFmtId="164" fontId="4" fillId="23" borderId="152" xfId="2" applyNumberFormat="1" applyFill="1" applyBorder="1" applyAlignment="1" applyProtection="1">
      <alignment horizontal="center" vertical="center"/>
      <protection locked="0"/>
    </xf>
    <xf numFmtId="164" fontId="4" fillId="0" borderId="152" xfId="2" applyNumberFormat="1" applyBorder="1" applyAlignment="1" applyProtection="1">
      <alignment horizontal="center" vertical="center"/>
      <protection locked="0"/>
    </xf>
    <xf numFmtId="172" fontId="4" fillId="0" borderId="0" xfId="2" applyNumberFormat="1" applyAlignment="1">
      <alignment vertical="center"/>
    </xf>
    <xf numFmtId="172" fontId="4" fillId="23" borderId="152" xfId="2" applyNumberFormat="1" applyFill="1" applyBorder="1" applyAlignment="1" applyProtection="1">
      <alignment horizontal="center" vertical="center"/>
      <protection locked="0"/>
    </xf>
    <xf numFmtId="172" fontId="62" fillId="0" borderId="152" xfId="2" applyNumberFormat="1" applyFont="1" applyBorder="1" applyAlignment="1" applyProtection="1">
      <alignment horizontal="center" vertical="center"/>
      <protection locked="0"/>
    </xf>
    <xf numFmtId="172" fontId="4" fillId="0" borderId="152" xfId="2" applyNumberFormat="1" applyBorder="1" applyAlignment="1">
      <alignment horizontal="center" vertical="center"/>
    </xf>
    <xf numFmtId="172" fontId="4" fillId="0" borderId="152" xfId="2" applyNumberFormat="1" applyBorder="1" applyAlignment="1" applyProtection="1">
      <alignment horizontal="center" vertical="center"/>
      <protection locked="0"/>
    </xf>
    <xf numFmtId="172" fontId="4" fillId="0" borderId="0" xfId="2" applyNumberFormat="1" applyAlignment="1" applyProtection="1">
      <alignment vertical="center"/>
      <protection locked="0"/>
    </xf>
    <xf numFmtId="0" fontId="4" fillId="0" borderId="152" xfId="2" applyBorder="1" applyAlignment="1">
      <alignment horizontal="center" vertical="center"/>
    </xf>
    <xf numFmtId="0" fontId="4" fillId="0" borderId="0" xfId="2" applyAlignment="1">
      <alignment vertical="center"/>
    </xf>
    <xf numFmtId="172" fontId="12" fillId="0" borderId="265" xfId="2" applyNumberFormat="1" applyFont="1" applyBorder="1" applyAlignment="1">
      <alignment horizontal="center" vertical="center"/>
    </xf>
    <xf numFmtId="0" fontId="4" fillId="0" borderId="2" xfId="2" applyBorder="1" applyAlignment="1">
      <alignment vertical="center"/>
    </xf>
    <xf numFmtId="0" fontId="4" fillId="0" borderId="2" xfId="2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/>
      <protection locked="0"/>
    </xf>
    <xf numFmtId="0" fontId="4" fillId="0" borderId="0" xfId="2" applyAlignment="1" applyProtection="1">
      <alignment vertical="center" wrapText="1"/>
      <protection locked="0"/>
    </xf>
    <xf numFmtId="0" fontId="6" fillId="0" borderId="262" xfId="2" applyFont="1" applyBorder="1" applyAlignment="1">
      <alignment vertical="center"/>
    </xf>
    <xf numFmtId="0" fontId="6" fillId="0" borderId="0" xfId="2" applyFont="1" applyAlignment="1" applyProtection="1">
      <alignment vertical="center"/>
      <protection locked="0"/>
    </xf>
    <xf numFmtId="0" fontId="22" fillId="0" borderId="138" xfId="2" applyFont="1" applyBorder="1" applyAlignment="1">
      <alignment vertical="center"/>
    </xf>
    <xf numFmtId="0" fontId="4" fillId="0" borderId="257" xfId="2" applyBorder="1" applyAlignment="1">
      <alignment vertical="center"/>
    </xf>
    <xf numFmtId="0" fontId="4" fillId="0" borderId="258" xfId="2" applyBorder="1" applyAlignment="1">
      <alignment vertical="center"/>
    </xf>
    <xf numFmtId="0" fontId="22" fillId="0" borderId="151" xfId="2" applyFont="1" applyBorder="1" applyAlignment="1">
      <alignment vertical="center"/>
    </xf>
    <xf numFmtId="0" fontId="4" fillId="0" borderId="144" xfId="2" applyBorder="1" applyAlignment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21" fillId="0" borderId="145" xfId="2" applyFont="1" applyBorder="1" applyAlignment="1">
      <alignment vertical="center"/>
    </xf>
    <xf numFmtId="0" fontId="12" fillId="0" borderId="146" xfId="2" applyFont="1" applyBorder="1" applyAlignment="1" applyProtection="1">
      <alignment vertical="center"/>
      <protection locked="0"/>
    </xf>
    <xf numFmtId="0" fontId="4" fillId="0" borderId="63" xfId="2" applyBorder="1" applyAlignment="1" applyProtection="1">
      <alignment vertical="center"/>
      <protection locked="0"/>
    </xf>
    <xf numFmtId="0" fontId="4" fillId="0" borderId="147" xfId="2" applyBorder="1" applyAlignment="1" applyProtection="1">
      <alignment vertical="center"/>
      <protection locked="0"/>
    </xf>
    <xf numFmtId="14" fontId="24" fillId="0" borderId="0" xfId="2" applyNumberFormat="1" applyFont="1" applyAlignment="1" applyProtection="1">
      <alignment horizontal="center" vertical="center"/>
      <protection locked="0"/>
    </xf>
    <xf numFmtId="14" fontId="24" fillId="0" borderId="144" xfId="2" applyNumberFormat="1" applyFont="1" applyBorder="1" applyAlignment="1" applyProtection="1">
      <alignment horizontal="center" vertical="center"/>
      <protection locked="0"/>
    </xf>
    <xf numFmtId="14" fontId="12" fillId="0" borderId="0" xfId="2" applyNumberFormat="1" applyFont="1" applyAlignment="1" applyProtection="1">
      <alignment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12" fillId="0" borderId="2" xfId="2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locked="0"/>
    </xf>
    <xf numFmtId="0" fontId="4" fillId="0" borderId="151" xfId="2" applyBorder="1" applyAlignment="1" applyProtection="1">
      <alignment vertical="center"/>
      <protection locked="0"/>
    </xf>
    <xf numFmtId="0" fontId="12" fillId="0" borderId="260" xfId="2" applyFont="1" applyBorder="1" applyAlignment="1">
      <alignment horizontal="center" vertical="center"/>
    </xf>
    <xf numFmtId="0" fontId="12" fillId="0" borderId="260" xfId="2" applyFont="1" applyBorder="1" applyAlignment="1">
      <alignment horizontal="center" vertical="center" wrapText="1"/>
    </xf>
    <xf numFmtId="0" fontId="4" fillId="0" borderId="156" xfId="2" applyBorder="1" applyAlignment="1" applyProtection="1">
      <alignment vertical="center"/>
      <protection locked="0"/>
    </xf>
    <xf numFmtId="0" fontId="12" fillId="0" borderId="157" xfId="2" applyFont="1" applyBorder="1" applyAlignment="1" applyProtection="1">
      <alignment horizontal="center" vertical="center"/>
      <protection locked="0"/>
    </xf>
    <xf numFmtId="0" fontId="4" fillId="0" borderId="157" xfId="2" applyBorder="1" applyAlignment="1" applyProtection="1">
      <alignment vertical="center"/>
      <protection locked="0"/>
    </xf>
    <xf numFmtId="0" fontId="58" fillId="0" borderId="259" xfId="2" applyFont="1" applyBorder="1" applyAlignment="1">
      <alignment vertical="center"/>
    </xf>
    <xf numFmtId="0" fontId="21" fillId="0" borderId="257" xfId="2" applyFont="1" applyBorder="1" applyAlignment="1">
      <alignment vertical="center"/>
    </xf>
    <xf numFmtId="0" fontId="21" fillId="0" borderId="258" xfId="2" applyFont="1" applyBorder="1" applyAlignment="1">
      <alignment vertical="center"/>
    </xf>
    <xf numFmtId="0" fontId="24" fillId="0" borderId="262" xfId="2" applyFont="1" applyBorder="1" applyAlignment="1">
      <alignment vertical="center"/>
    </xf>
    <xf numFmtId="0" fontId="24" fillId="0" borderId="272" xfId="2" applyFont="1" applyBorder="1" applyAlignment="1" applyProtection="1">
      <alignment vertical="center"/>
      <protection locked="0"/>
    </xf>
    <xf numFmtId="0" fontId="64" fillId="0" borderId="12" xfId="2" applyFont="1" applyBorder="1" applyAlignment="1" applyProtection="1">
      <alignment vertical="center" wrapText="1"/>
      <protection locked="0"/>
    </xf>
    <xf numFmtId="0" fontId="24" fillId="0" borderId="0" xfId="2" applyFont="1" applyAlignment="1" applyProtection="1">
      <alignment vertical="center" wrapText="1"/>
      <protection locked="0"/>
    </xf>
    <xf numFmtId="172" fontId="23" fillId="0" borderId="138" xfId="2" applyNumberFormat="1" applyFont="1" applyBorder="1" applyAlignment="1" applyProtection="1">
      <alignment vertical="center"/>
      <protection locked="0"/>
    </xf>
    <xf numFmtId="172" fontId="23" fillId="0" borderId="257" xfId="2" applyNumberFormat="1" applyFont="1" applyBorder="1" applyAlignment="1" applyProtection="1">
      <alignment vertical="center"/>
      <protection locked="0"/>
    </xf>
    <xf numFmtId="172" fontId="23" fillId="0" borderId="258" xfId="2" applyNumberFormat="1" applyFont="1" applyBorder="1" applyAlignment="1" applyProtection="1">
      <alignment vertical="center"/>
      <protection locked="0"/>
    </xf>
    <xf numFmtId="0" fontId="58" fillId="0" borderId="145" xfId="2" applyFont="1" applyBorder="1" applyAlignment="1">
      <alignment vertical="center"/>
    </xf>
    <xf numFmtId="0" fontId="58" fillId="0" borderId="153" xfId="2" applyFont="1" applyBorder="1" applyAlignment="1">
      <alignment horizontal="center" vertical="center"/>
    </xf>
    <xf numFmtId="0" fontId="24" fillId="0" borderId="151" xfId="2" applyFont="1" applyBorder="1" applyAlignment="1" applyProtection="1">
      <alignment vertical="center"/>
      <protection locked="0"/>
    </xf>
    <xf numFmtId="0" fontId="24" fillId="0" borderId="0" xfId="2" applyFont="1" applyAlignment="1" applyProtection="1">
      <alignment vertical="center"/>
      <protection locked="0"/>
    </xf>
    <xf numFmtId="0" fontId="24" fillId="0" borderId="144" xfId="2" applyFont="1" applyBorder="1" applyAlignment="1" applyProtection="1">
      <alignment vertical="center"/>
      <protection locked="0"/>
    </xf>
    <xf numFmtId="0" fontId="24" fillId="0" borderId="150" xfId="2" applyFont="1" applyBorder="1" applyAlignment="1">
      <alignment vertical="center" wrapText="1"/>
    </xf>
    <xf numFmtId="0" fontId="24" fillId="0" borderId="145" xfId="2" applyFont="1" applyBorder="1" applyAlignment="1">
      <alignment vertical="center" wrapText="1"/>
    </xf>
    <xf numFmtId="172" fontId="24" fillId="0" borderId="153" xfId="2" applyNumberFormat="1" applyFont="1" applyBorder="1" applyAlignment="1">
      <alignment horizontal="center" vertical="center"/>
    </xf>
    <xf numFmtId="172" fontId="24" fillId="0" borderId="159" xfId="2" applyNumberFormat="1" applyFont="1" applyBorder="1" applyAlignment="1">
      <alignment horizontal="center" vertical="center"/>
    </xf>
    <xf numFmtId="0" fontId="24" fillId="10" borderId="145" xfId="2" applyFont="1" applyFill="1" applyBorder="1" applyAlignment="1" applyProtection="1">
      <alignment vertical="center"/>
      <protection locked="0"/>
    </xf>
    <xf numFmtId="0" fontId="12" fillId="0" borderId="145" xfId="2" applyFont="1" applyBorder="1" applyAlignment="1">
      <alignment vertical="center"/>
    </xf>
    <xf numFmtId="0" fontId="58" fillId="0" borderId="158" xfId="2" applyFont="1" applyBorder="1" applyAlignment="1">
      <alignment vertical="center" wrapText="1"/>
    </xf>
    <xf numFmtId="0" fontId="58" fillId="0" borderId="151" xfId="2" applyFont="1" applyBorder="1" applyAlignment="1" applyProtection="1">
      <alignment vertical="center"/>
      <protection locked="0"/>
    </xf>
    <xf numFmtId="0" fontId="58" fillId="0" borderId="0" xfId="2" applyFont="1" applyAlignment="1" applyProtection="1">
      <alignment vertical="center"/>
      <protection locked="0"/>
    </xf>
    <xf numFmtId="0" fontId="24" fillId="0" borderId="158" xfId="2" applyFont="1" applyBorder="1" applyAlignment="1">
      <alignment vertical="center"/>
    </xf>
    <xf numFmtId="0" fontId="21" fillId="0" borderId="273" xfId="2" applyFont="1" applyBorder="1" applyAlignment="1">
      <alignment vertical="center"/>
    </xf>
    <xf numFmtId="0" fontId="21" fillId="0" borderId="1" xfId="2" applyFont="1" applyBorder="1" applyAlignment="1" applyProtection="1">
      <alignment vertical="center"/>
      <protection locked="0"/>
    </xf>
    <xf numFmtId="0" fontId="4" fillId="0" borderId="151" xfId="2" applyBorder="1" applyAlignment="1">
      <alignment vertical="center"/>
    </xf>
    <xf numFmtId="0" fontId="4" fillId="0" borderId="259" xfId="2" applyBorder="1" applyAlignment="1">
      <alignment vertical="center"/>
    </xf>
    <xf numFmtId="0" fontId="4" fillId="0" borderId="145" xfId="2" applyBorder="1" applyAlignment="1">
      <alignment vertical="center"/>
    </xf>
    <xf numFmtId="0" fontId="6" fillId="0" borderId="15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 applyProtection="1">
      <alignment vertical="center"/>
      <protection locked="0"/>
    </xf>
    <xf numFmtId="0" fontId="4" fillId="0" borderId="3" xfId="2" applyBorder="1" applyAlignment="1">
      <alignment vertical="center"/>
    </xf>
    <xf numFmtId="0" fontId="21" fillId="0" borderId="274" xfId="2" applyFont="1" applyBorder="1" applyAlignment="1">
      <alignment vertical="center"/>
    </xf>
    <xf numFmtId="0" fontId="12" fillId="0" borderId="257" xfId="2" applyFont="1" applyBorder="1" applyAlignment="1">
      <alignment vertical="center"/>
    </xf>
    <xf numFmtId="0" fontId="12" fillId="0" borderId="257" xfId="2" applyFont="1" applyBorder="1" applyAlignment="1">
      <alignment horizontal="center" vertical="center"/>
    </xf>
    <xf numFmtId="0" fontId="12" fillId="0" borderId="258" xfId="2" applyFont="1" applyBorder="1" applyAlignment="1">
      <alignment horizontal="center" vertical="center"/>
    </xf>
    <xf numFmtId="0" fontId="21" fillId="0" borderId="140" xfId="2" applyFont="1" applyBorder="1" applyAlignment="1">
      <alignment vertical="center"/>
    </xf>
    <xf numFmtId="0" fontId="4" fillId="0" borderId="141" xfId="2" applyBorder="1" applyAlignment="1" applyProtection="1">
      <alignment vertical="center"/>
      <protection locked="0"/>
    </xf>
    <xf numFmtId="0" fontId="4" fillId="0" borderId="146" xfId="2" applyBorder="1" applyAlignment="1" applyProtection="1">
      <alignment vertical="center"/>
      <protection locked="0"/>
    </xf>
    <xf numFmtId="0" fontId="12" fillId="0" borderId="152" xfId="2" applyFont="1" applyBorder="1" applyAlignment="1">
      <alignment vertical="center"/>
    </xf>
    <xf numFmtId="0" fontId="12" fillId="0" borderId="150" xfId="2" applyFont="1" applyBorder="1" applyAlignment="1">
      <alignment vertical="center"/>
    </xf>
    <xf numFmtId="0" fontId="12" fillId="0" borderId="152" xfId="2" applyFont="1" applyBorder="1" applyAlignment="1">
      <alignment horizontal="center" vertical="center"/>
    </xf>
    <xf numFmtId="0" fontId="12" fillId="0" borderId="150" xfId="2" applyFont="1" applyBorder="1" applyAlignment="1">
      <alignment vertical="center" wrapText="1"/>
    </xf>
    <xf numFmtId="0" fontId="12" fillId="0" borderId="152" xfId="2" applyFont="1" applyBorder="1" applyAlignment="1">
      <alignment vertical="center" wrapText="1"/>
    </xf>
    <xf numFmtId="0" fontId="12" fillId="0" borderId="155" xfId="2" applyFont="1" applyBorder="1" applyAlignment="1">
      <alignment vertical="center"/>
    </xf>
    <xf numFmtId="0" fontId="4" fillId="0" borderId="156" xfId="2" applyBorder="1" applyAlignment="1">
      <alignment vertical="center"/>
    </xf>
    <xf numFmtId="0" fontId="4" fillId="10" borderId="152" xfId="2" applyFill="1" applyBorder="1" applyAlignment="1" applyProtection="1">
      <alignment vertical="center"/>
      <protection locked="0"/>
    </xf>
    <xf numFmtId="0" fontId="4" fillId="0" borderId="152" xfId="2" applyBorder="1" applyAlignment="1">
      <alignment vertical="center"/>
    </xf>
    <xf numFmtId="0" fontId="21" fillId="0" borderId="152" xfId="2" applyFont="1" applyBorder="1" applyAlignment="1">
      <alignment vertical="center"/>
    </xf>
    <xf numFmtId="0" fontId="21" fillId="0" borderId="152" xfId="2" applyFont="1" applyBorder="1" applyAlignment="1" applyProtection="1">
      <alignment vertical="center"/>
      <protection locked="0"/>
    </xf>
    <xf numFmtId="0" fontId="21" fillId="0" borderId="152" xfId="2" applyFont="1" applyBorder="1" applyAlignment="1">
      <alignment horizontal="right" vertical="center"/>
    </xf>
    <xf numFmtId="0" fontId="58" fillId="0" borderId="1" xfId="2" applyFont="1" applyBorder="1" applyAlignment="1">
      <alignment vertical="center"/>
    </xf>
    <xf numFmtId="0" fontId="21" fillId="0" borderId="265" xfId="2" applyFont="1" applyBorder="1" applyAlignment="1">
      <alignment vertical="center"/>
    </xf>
    <xf numFmtId="0" fontId="21" fillId="0" borderId="2" xfId="2" applyFont="1" applyBorder="1" applyAlignment="1" applyProtection="1">
      <alignment horizontal="right" vertical="center"/>
      <protection locked="0"/>
    </xf>
    <xf numFmtId="0" fontId="21" fillId="0" borderId="272" xfId="2" applyFont="1" applyBorder="1" applyAlignment="1" applyProtection="1">
      <alignment vertical="center"/>
      <protection locked="0"/>
    </xf>
    <xf numFmtId="0" fontId="21" fillId="0" borderId="0" xfId="2" applyFont="1" applyAlignment="1" applyProtection="1">
      <alignment horizontal="right" vertical="center"/>
      <protection locked="0"/>
    </xf>
    <xf numFmtId="171" fontId="24" fillId="0" borderId="152" xfId="2" applyNumberFormat="1" applyFont="1" applyBorder="1" applyAlignment="1">
      <alignment horizontal="center" vertical="center"/>
    </xf>
    <xf numFmtId="171" fontId="24" fillId="0" borderId="265" xfId="2" applyNumberFormat="1" applyFont="1" applyBorder="1" applyAlignment="1">
      <alignment horizontal="center" vertical="center"/>
    </xf>
    <xf numFmtId="0" fontId="64" fillId="0" borderId="0" xfId="2" applyFont="1" applyAlignment="1" applyProtection="1">
      <alignment vertical="center" wrapText="1"/>
      <protection locked="0"/>
    </xf>
    <xf numFmtId="0" fontId="24" fillId="0" borderId="270" xfId="2" applyFont="1" applyBorder="1" applyAlignment="1">
      <alignment vertical="center"/>
    </xf>
    <xf numFmtId="0" fontId="24" fillId="0" borderId="42" xfId="2" applyFont="1" applyBorder="1" applyAlignment="1">
      <alignment vertical="center"/>
    </xf>
    <xf numFmtId="0" fontId="24" fillId="0" borderId="271" xfId="2" applyFont="1" applyBorder="1" applyAlignment="1">
      <alignment vertical="center"/>
    </xf>
    <xf numFmtId="0" fontId="24" fillId="0" borderId="261" xfId="2" applyFont="1" applyBorder="1" applyAlignment="1" applyProtection="1">
      <alignment vertical="center"/>
      <protection locked="0"/>
    </xf>
    <xf numFmtId="0" fontId="24" fillId="0" borderId="140" xfId="2" applyFont="1" applyBorder="1" applyAlignment="1">
      <alignment vertical="center" wrapText="1"/>
    </xf>
    <xf numFmtId="0" fontId="24" fillId="0" borderId="153" xfId="2" applyFont="1" applyBorder="1" applyAlignment="1">
      <alignment vertical="center"/>
    </xf>
    <xf numFmtId="0" fontId="24" fillId="0" borderId="22" xfId="2" applyFont="1" applyBorder="1" applyAlignment="1">
      <alignment vertical="center"/>
    </xf>
    <xf numFmtId="0" fontId="24" fillId="0" borderId="154" xfId="2" applyFont="1" applyBorder="1" applyAlignment="1">
      <alignment vertical="center"/>
    </xf>
    <xf numFmtId="172" fontId="24" fillId="10" borderId="152" xfId="2" applyNumberFormat="1" applyFont="1" applyFill="1" applyBorder="1" applyAlignment="1" applyProtection="1">
      <alignment horizontal="center" vertical="center"/>
      <protection locked="0"/>
    </xf>
    <xf numFmtId="0" fontId="24" fillId="0" borderId="155" xfId="2" applyFont="1" applyBorder="1" applyAlignment="1" applyProtection="1">
      <alignment vertical="center"/>
      <protection locked="0"/>
    </xf>
    <xf numFmtId="3" fontId="24" fillId="10" borderId="152" xfId="2" applyNumberFormat="1" applyFont="1" applyFill="1" applyBorder="1" applyAlignment="1" applyProtection="1">
      <alignment horizontal="center" vertical="center"/>
      <protection locked="0"/>
    </xf>
    <xf numFmtId="0" fontId="58" fillId="0" borderId="22" xfId="2" applyFont="1" applyBorder="1" applyAlignment="1">
      <alignment horizontal="center" vertical="center"/>
    </xf>
    <xf numFmtId="0" fontId="24" fillId="0" borderId="152" xfId="2" applyFont="1" applyBorder="1" applyAlignment="1">
      <alignment horizontal="center" vertical="center"/>
    </xf>
    <xf numFmtId="0" fontId="24" fillId="0" borderId="141" xfId="2" applyFont="1" applyBorder="1" applyAlignment="1">
      <alignment horizontal="center" vertical="center"/>
    </xf>
    <xf numFmtId="172" fontId="24" fillId="0" borderId="0" xfId="2" applyNumberFormat="1" applyFont="1" applyAlignment="1">
      <alignment horizontal="center" vertical="center"/>
    </xf>
    <xf numFmtId="0" fontId="24" fillId="0" borderId="142" xfId="2" applyFont="1" applyBorder="1" applyAlignment="1">
      <alignment vertical="center"/>
    </xf>
    <xf numFmtId="172" fontId="24" fillId="0" borderId="159" xfId="2" applyNumberFormat="1" applyFont="1" applyBorder="1" applyAlignment="1">
      <alignment horizontal="left" vertical="center"/>
    </xf>
    <xf numFmtId="0" fontId="24" fillId="0" borderId="153" xfId="2" applyFont="1" applyBorder="1" applyAlignment="1">
      <alignment horizontal="center" vertical="center"/>
    </xf>
    <xf numFmtId="172" fontId="24" fillId="0" borderId="22" xfId="2" applyNumberFormat="1" applyFont="1" applyBorder="1" applyAlignment="1">
      <alignment horizontal="center" vertical="center"/>
    </xf>
    <xf numFmtId="172" fontId="24" fillId="0" borderId="154" xfId="2" applyNumberFormat="1" applyFont="1" applyBorder="1" applyAlignment="1">
      <alignment horizontal="center" vertical="center"/>
    </xf>
    <xf numFmtId="0" fontId="24" fillId="0" borderId="145" xfId="2" applyFont="1" applyBorder="1" applyAlignment="1">
      <alignment vertical="center"/>
    </xf>
    <xf numFmtId="172" fontId="24" fillId="0" borderId="152" xfId="2" applyNumberFormat="1" applyFont="1" applyBorder="1" applyAlignment="1">
      <alignment horizontal="center" vertical="center"/>
    </xf>
    <xf numFmtId="172" fontId="24" fillId="0" borderId="22" xfId="2" applyNumberFormat="1" applyFont="1" applyBorder="1" applyAlignment="1">
      <alignment vertical="center"/>
    </xf>
    <xf numFmtId="0" fontId="24" fillId="0" borderId="146" xfId="2" applyFont="1" applyBorder="1" applyAlignment="1">
      <alignment vertical="center"/>
    </xf>
    <xf numFmtId="172" fontId="24" fillId="0" borderId="63" xfId="2" applyNumberFormat="1" applyFont="1" applyBorder="1" applyAlignment="1">
      <alignment vertical="center"/>
    </xf>
    <xf numFmtId="0" fontId="24" fillId="0" borderId="63" xfId="2" applyFont="1" applyBorder="1" applyAlignment="1">
      <alignment vertical="center"/>
    </xf>
    <xf numFmtId="0" fontId="24" fillId="0" borderId="147" xfId="2" applyFont="1" applyBorder="1" applyAlignment="1">
      <alignment vertical="center"/>
    </xf>
    <xf numFmtId="172" fontId="58" fillId="0" borderId="152" xfId="2" applyNumberFormat="1" applyFont="1" applyBorder="1" applyAlignment="1">
      <alignment horizontal="center" vertical="center"/>
    </xf>
    <xf numFmtId="0" fontId="58" fillId="0" borderId="150" xfId="2" applyFont="1" applyBorder="1" applyAlignment="1">
      <alignment vertical="center" wrapText="1"/>
    </xf>
    <xf numFmtId="0" fontId="58" fillId="0" borderId="153" xfId="2" applyFont="1" applyBorder="1" applyAlignment="1">
      <alignment vertical="center"/>
    </xf>
    <xf numFmtId="0" fontId="58" fillId="0" borderId="22" xfId="2" applyFont="1" applyBorder="1" applyAlignment="1">
      <alignment vertical="center"/>
    </xf>
    <xf numFmtId="0" fontId="58" fillId="0" borderId="154" xfId="2" applyFont="1" applyBorder="1" applyAlignment="1">
      <alignment vertical="center"/>
    </xf>
    <xf numFmtId="172" fontId="24" fillId="0" borderId="146" xfId="2" applyNumberFormat="1" applyFont="1" applyBorder="1" applyAlignment="1">
      <alignment horizontal="center" vertical="center"/>
    </xf>
    <xf numFmtId="0" fontId="24" fillId="0" borderId="277" xfId="2" applyFont="1" applyBorder="1" applyAlignment="1">
      <alignment vertical="center"/>
    </xf>
    <xf numFmtId="0" fontId="24" fillId="0" borderId="263" xfId="2" applyFont="1" applyBorder="1" applyAlignment="1">
      <alignment vertical="center"/>
    </xf>
    <xf numFmtId="0" fontId="24" fillId="0" borderId="131" xfId="2" applyFont="1" applyBorder="1" applyAlignment="1">
      <alignment vertical="center"/>
    </xf>
    <xf numFmtId="0" fontId="24" fillId="0" borderId="269" xfId="2" applyFont="1" applyBorder="1" applyAlignment="1">
      <alignment vertical="center"/>
    </xf>
    <xf numFmtId="172" fontId="24" fillId="0" borderId="265" xfId="2" applyNumberFormat="1" applyFont="1" applyBorder="1" applyAlignment="1">
      <alignment horizontal="center" vertical="center"/>
    </xf>
    <xf numFmtId="0" fontId="24" fillId="0" borderId="266" xfId="2" applyFont="1" applyBorder="1" applyAlignment="1" applyProtection="1">
      <alignment vertical="center"/>
      <protection locked="0"/>
    </xf>
    <xf numFmtId="4" fontId="4" fillId="0" borderId="157" xfId="2" applyNumberFormat="1" applyBorder="1" applyAlignment="1">
      <alignment horizontal="center" vertical="center"/>
    </xf>
    <xf numFmtId="0" fontId="21" fillId="0" borderId="278" xfId="2" applyFont="1" applyBorder="1" applyAlignment="1">
      <alignment vertical="center"/>
    </xf>
    <xf numFmtId="0" fontId="21" fillId="0" borderId="279" xfId="2" applyFont="1" applyBorder="1" applyAlignment="1">
      <alignment vertical="center"/>
    </xf>
    <xf numFmtId="0" fontId="21" fillId="0" borderId="280" xfId="2" applyFont="1" applyBorder="1" applyAlignment="1">
      <alignment vertical="center"/>
    </xf>
    <xf numFmtId="0" fontId="21" fillId="0" borderId="281" xfId="2" applyFont="1" applyBorder="1" applyAlignment="1">
      <alignment vertical="center"/>
    </xf>
    <xf numFmtId="172" fontId="58" fillId="0" borderId="282" xfId="2" applyNumberFormat="1" applyFont="1" applyBorder="1" applyAlignment="1">
      <alignment horizontal="center" vertical="center"/>
    </xf>
    <xf numFmtId="0" fontId="4" fillId="0" borderId="283" xfId="2" applyBorder="1" applyAlignment="1" applyProtection="1">
      <alignment vertical="center"/>
      <protection locked="0"/>
    </xf>
    <xf numFmtId="0" fontId="6" fillId="0" borderId="151" xfId="2" applyFont="1" applyBorder="1" applyAlignment="1" applyProtection="1">
      <alignment vertical="center"/>
      <protection locked="0"/>
    </xf>
    <xf numFmtId="0" fontId="21" fillId="0" borderId="257" xfId="2" applyFont="1" applyBorder="1" applyAlignment="1" applyProtection="1">
      <alignment vertical="center"/>
      <protection locked="0"/>
    </xf>
    <xf numFmtId="0" fontId="21" fillId="0" borderId="258" xfId="2" applyFont="1" applyBorder="1" applyAlignment="1" applyProtection="1">
      <alignment vertical="center"/>
      <protection locked="0"/>
    </xf>
    <xf numFmtId="172" fontId="24" fillId="0" borderId="146" xfId="2" applyNumberFormat="1" applyFont="1" applyBorder="1" applyAlignment="1">
      <alignment horizontal="center" vertical="center" wrapText="1"/>
    </xf>
    <xf numFmtId="0" fontId="4" fillId="0" borderId="259" xfId="2" applyBorder="1" applyAlignment="1" applyProtection="1">
      <alignment vertical="center"/>
      <protection locked="0"/>
    </xf>
    <xf numFmtId="0" fontId="4" fillId="0" borderId="150" xfId="2" applyBorder="1" applyAlignment="1" applyProtection="1">
      <alignment vertical="center"/>
      <protection locked="0"/>
    </xf>
    <xf numFmtId="0" fontId="58" fillId="0" borderId="152" xfId="2" applyFont="1" applyBorder="1" applyAlignment="1">
      <alignment horizontal="center" vertical="center"/>
    </xf>
    <xf numFmtId="0" fontId="58" fillId="0" borderId="152" xfId="2" applyFont="1" applyBorder="1" applyAlignment="1">
      <alignment horizontal="center" vertical="center" wrapText="1"/>
    </xf>
    <xf numFmtId="0" fontId="58" fillId="0" borderId="155" xfId="2" applyFont="1" applyBorder="1" applyAlignment="1">
      <alignment vertical="center"/>
    </xf>
    <xf numFmtId="0" fontId="4" fillId="0" borderId="157" xfId="2" applyBorder="1" applyAlignment="1">
      <alignment horizontal="center" vertical="center"/>
    </xf>
    <xf numFmtId="0" fontId="21" fillId="0" borderId="152" xfId="2" applyFont="1" applyBorder="1" applyAlignment="1" applyProtection="1">
      <alignment horizontal="center" vertical="center"/>
      <protection locked="0"/>
    </xf>
    <xf numFmtId="1" fontId="24" fillId="0" borderId="0" xfId="2" applyNumberFormat="1" applyFont="1" applyAlignment="1" applyProtection="1">
      <alignment vertical="center"/>
      <protection locked="0"/>
    </xf>
    <xf numFmtId="0" fontId="24" fillId="0" borderId="140" xfId="2" applyFont="1" applyBorder="1" applyAlignment="1">
      <alignment vertical="center"/>
    </xf>
    <xf numFmtId="172" fontId="24" fillId="41" borderId="0" xfId="2" applyNumberFormat="1" applyFont="1" applyFill="1" applyAlignment="1">
      <alignment vertical="center"/>
    </xf>
    <xf numFmtId="0" fontId="4" fillId="41" borderId="0" xfId="2" applyFill="1" applyAlignment="1" applyProtection="1">
      <alignment vertical="center"/>
      <protection locked="0"/>
    </xf>
    <xf numFmtId="0" fontId="4" fillId="41" borderId="144" xfId="2" applyFill="1" applyBorder="1" applyAlignment="1" applyProtection="1">
      <alignment vertical="center"/>
      <protection locked="0"/>
    </xf>
    <xf numFmtId="164" fontId="24" fillId="23" borderId="152" xfId="2" applyNumberFormat="1" applyFont="1" applyFill="1" applyBorder="1" applyAlignment="1" applyProtection="1">
      <alignment horizontal="center" vertical="center"/>
      <protection locked="0"/>
    </xf>
    <xf numFmtId="172" fontId="24" fillId="23" borderId="152" xfId="2" applyNumberFormat="1" applyFont="1" applyFill="1" applyBorder="1" applyAlignment="1" applyProtection="1">
      <alignment horizontal="center" vertical="center"/>
      <protection locked="0"/>
    </xf>
    <xf numFmtId="172" fontId="24" fillId="41" borderId="0" xfId="2" applyNumberFormat="1" applyFont="1" applyFill="1" applyAlignment="1" applyProtection="1">
      <alignment vertical="center"/>
      <protection locked="0"/>
    </xf>
    <xf numFmtId="0" fontId="24" fillId="41" borderId="0" xfId="2" applyFont="1" applyFill="1" applyAlignment="1">
      <alignment vertical="center"/>
    </xf>
    <xf numFmtId="172" fontId="24" fillId="0" borderId="190" xfId="2" applyNumberFormat="1" applyFont="1" applyBorder="1" applyAlignment="1">
      <alignment horizontal="center" vertical="center"/>
    </xf>
    <xf numFmtId="0" fontId="4" fillId="23" borderId="190" xfId="2" applyFill="1" applyBorder="1" applyAlignment="1" applyProtection="1">
      <alignment vertical="center"/>
      <protection locked="0"/>
    </xf>
    <xf numFmtId="0" fontId="24" fillId="0" borderId="0" xfId="2" applyFont="1" applyAlignment="1">
      <alignment vertical="center"/>
    </xf>
    <xf numFmtId="0" fontId="58" fillId="0" borderId="191" xfId="2" applyFont="1" applyBorder="1" applyAlignment="1">
      <alignment horizontal="center" vertical="center"/>
    </xf>
    <xf numFmtId="0" fontId="58" fillId="0" borderId="262" xfId="2" applyFont="1" applyBorder="1" applyAlignment="1">
      <alignment vertical="center"/>
    </xf>
    <xf numFmtId="4" fontId="4" fillId="0" borderId="157" xfId="2" applyNumberFormat="1" applyBorder="1" applyAlignment="1" applyProtection="1">
      <alignment horizontal="center" vertical="center"/>
      <protection locked="0"/>
    </xf>
    <xf numFmtId="172" fontId="24" fillId="0" borderId="0" xfId="2" applyNumberFormat="1" applyFont="1" applyAlignment="1">
      <alignment vertical="center"/>
    </xf>
    <xf numFmtId="172" fontId="24" fillId="0" borderId="0" xfId="2" applyNumberFormat="1" applyFont="1" applyAlignment="1" applyProtection="1">
      <alignment vertical="center"/>
      <protection locked="0"/>
    </xf>
    <xf numFmtId="0" fontId="19" fillId="0" borderId="0" xfId="1" applyAlignment="1">
      <alignment wrapText="1"/>
    </xf>
    <xf numFmtId="1" fontId="5" fillId="10" borderId="152" xfId="2" applyNumberFormat="1" applyFont="1" applyFill="1" applyBorder="1" applyAlignment="1" applyProtection="1">
      <alignment horizontal="center" vertical="center"/>
      <protection locked="0"/>
    </xf>
    <xf numFmtId="0" fontId="7" fillId="0" borderId="152" xfId="2" applyFont="1" applyBorder="1" applyAlignment="1">
      <alignment horizontal="center" vertical="center"/>
    </xf>
    <xf numFmtId="14" fontId="69" fillId="10" borderId="152" xfId="2" applyNumberFormat="1" applyFont="1" applyFill="1" applyBorder="1" applyAlignment="1" applyProtection="1">
      <alignment horizontal="center" vertical="center"/>
      <protection locked="0"/>
    </xf>
    <xf numFmtId="14" fontId="69" fillId="10" borderId="155" xfId="2" applyNumberFormat="1" applyFont="1" applyFill="1" applyBorder="1" applyAlignment="1" applyProtection="1">
      <alignment horizontal="center" vertical="center"/>
      <protection locked="0"/>
    </xf>
    <xf numFmtId="1" fontId="5" fillId="10" borderId="152" xfId="2" applyNumberFormat="1" applyFont="1" applyFill="1" applyBorder="1" applyAlignment="1" applyProtection="1">
      <alignment vertical="center"/>
      <protection locked="0"/>
    </xf>
    <xf numFmtId="0" fontId="5" fillId="0" borderId="152" xfId="2" applyFont="1" applyBorder="1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14" fontId="14" fillId="0" borderId="1" xfId="2" applyNumberFormat="1" applyFont="1" applyBorder="1" applyAlignment="1" applyProtection="1">
      <alignment vertical="center"/>
      <protection locked="0"/>
    </xf>
    <xf numFmtId="0" fontId="14" fillId="0" borderId="2" xfId="2" applyFont="1" applyBorder="1" applyAlignment="1" applyProtection="1">
      <alignment vertical="center"/>
      <protection locked="0"/>
    </xf>
    <xf numFmtId="14" fontId="14" fillId="0" borderId="262" xfId="2" applyNumberFormat="1" applyFont="1" applyBorder="1" applyAlignment="1">
      <alignment vertical="center"/>
    </xf>
    <xf numFmtId="0" fontId="19" fillId="42" borderId="0" xfId="1" applyFill="1" applyAlignment="1">
      <alignment horizontal="left" vertical="center"/>
    </xf>
    <xf numFmtId="0" fontId="31" fillId="42" borderId="196" xfId="0" applyFont="1" applyFill="1" applyBorder="1" applyAlignment="1">
      <alignment horizontal="center" vertical="center"/>
    </xf>
    <xf numFmtId="0" fontId="19" fillId="42" borderId="0" xfId="1" applyFill="1" applyAlignment="1" applyProtection="1">
      <alignment vertical="center"/>
      <protection locked="0"/>
    </xf>
    <xf numFmtId="0" fontId="1" fillId="0" borderId="0" xfId="0" quotePrefix="1" applyFont="1"/>
    <xf numFmtId="0" fontId="1" fillId="0" borderId="0" xfId="0" applyFont="1"/>
    <xf numFmtId="0" fontId="4" fillId="0" borderId="286" xfId="0" applyFont="1" applyBorder="1" applyAlignment="1">
      <alignment wrapText="1"/>
    </xf>
    <xf numFmtId="0" fontId="0" fillId="0" borderId="287" xfId="0" applyBorder="1" applyAlignment="1">
      <alignment wrapText="1"/>
    </xf>
    <xf numFmtId="0" fontId="0" fillId="0" borderId="288" xfId="0" applyBorder="1" applyAlignment="1">
      <alignment wrapText="1"/>
    </xf>
    <xf numFmtId="0" fontId="4" fillId="0" borderId="102" xfId="0" applyFont="1" applyBorder="1" applyAlignment="1">
      <alignment wrapText="1"/>
    </xf>
    <xf numFmtId="0" fontId="4" fillId="0" borderId="7" xfId="0" applyFont="1" applyBorder="1"/>
    <xf numFmtId="0" fontId="4" fillId="0" borderId="289" xfId="0" applyFont="1" applyBorder="1"/>
    <xf numFmtId="0" fontId="1" fillId="0" borderId="291" xfId="0" applyFont="1" applyBorder="1"/>
    <xf numFmtId="0" fontId="1" fillId="0" borderId="292" xfId="0" applyFont="1" applyBorder="1"/>
    <xf numFmtId="0" fontId="1" fillId="0" borderId="286" xfId="0" quotePrefix="1" applyFont="1" applyBorder="1"/>
    <xf numFmtId="0" fontId="1" fillId="0" borderId="7" xfId="0" applyFont="1" applyBorder="1"/>
    <xf numFmtId="0" fontId="0" fillId="0" borderId="7" xfId="0" applyBorder="1" applyAlignment="1">
      <alignment wrapText="1"/>
    </xf>
    <xf numFmtId="0" fontId="0" fillId="0" borderId="289" xfId="0" applyBorder="1" applyAlignment="1">
      <alignment wrapText="1"/>
    </xf>
    <xf numFmtId="0" fontId="0" fillId="0" borderId="7" xfId="0" applyBorder="1"/>
    <xf numFmtId="0" fontId="0" fillId="0" borderId="290" xfId="0" applyBorder="1"/>
    <xf numFmtId="0" fontId="0" fillId="0" borderId="291" xfId="0" applyBorder="1"/>
    <xf numFmtId="0" fontId="0" fillId="0" borderId="291" xfId="0" applyBorder="1" applyAlignment="1">
      <alignment wrapText="1"/>
    </xf>
    <xf numFmtId="0" fontId="0" fillId="0" borderId="292" xfId="0" applyBorder="1" applyAlignment="1">
      <alignment wrapText="1"/>
    </xf>
    <xf numFmtId="0" fontId="4" fillId="20" borderId="102" xfId="0" applyFont="1" applyFill="1" applyBorder="1" applyAlignment="1">
      <alignment wrapText="1"/>
    </xf>
    <xf numFmtId="0" fontId="4" fillId="10" borderId="102" xfId="0" applyFont="1" applyFill="1" applyBorder="1" applyAlignment="1">
      <alignment wrapText="1"/>
    </xf>
    <xf numFmtId="0" fontId="4" fillId="40" borderId="102" xfId="0" applyFont="1" applyFill="1" applyBorder="1" applyAlignment="1">
      <alignment wrapText="1"/>
    </xf>
    <xf numFmtId="0" fontId="4" fillId="41" borderId="102" xfId="0" applyFont="1" applyFill="1" applyBorder="1" applyAlignment="1">
      <alignment wrapText="1"/>
    </xf>
    <xf numFmtId="0" fontId="4" fillId="43" borderId="102" xfId="0" applyFont="1" applyFill="1" applyBorder="1" applyAlignment="1">
      <alignment wrapText="1"/>
    </xf>
    <xf numFmtId="0" fontId="1" fillId="44" borderId="290" xfId="0" applyFont="1" applyFill="1" applyBorder="1" applyAlignment="1">
      <alignment wrapText="1"/>
    </xf>
    <xf numFmtId="0" fontId="7" fillId="0" borderId="102" xfId="0" applyFont="1" applyBorder="1" applyAlignment="1">
      <alignment wrapText="1"/>
    </xf>
    <xf numFmtId="0" fontId="1" fillId="45" borderId="102" xfId="0" applyFont="1" applyFill="1" applyBorder="1"/>
    <xf numFmtId="0" fontId="71" fillId="45" borderId="102" xfId="0" applyFont="1" applyFill="1" applyBorder="1"/>
    <xf numFmtId="0" fontId="1" fillId="21" borderId="102" xfId="0" applyFont="1" applyFill="1" applyBorder="1"/>
    <xf numFmtId="0" fontId="1" fillId="46" borderId="102" xfId="0" applyFont="1" applyFill="1" applyBorder="1"/>
    <xf numFmtId="0" fontId="1" fillId="47" borderId="102" xfId="0" applyFont="1" applyFill="1" applyBorder="1"/>
    <xf numFmtId="0" fontId="1" fillId="10" borderId="102" xfId="0" applyFont="1" applyFill="1" applyBorder="1"/>
    <xf numFmtId="0" fontId="71" fillId="48" borderId="102" xfId="0" applyFont="1" applyFill="1" applyBorder="1"/>
    <xf numFmtId="49" fontId="3" fillId="0" borderId="45" xfId="0" applyNumberFormat="1" applyFont="1" applyBorder="1" applyAlignment="1" applyProtection="1">
      <alignment horizontal="left" vertical="center"/>
      <protection locked="0"/>
    </xf>
    <xf numFmtId="49" fontId="3" fillId="7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6" borderId="53" xfId="0" applyNumberFormat="1" applyFont="1" applyFill="1" applyBorder="1" applyAlignment="1" applyProtection="1">
      <alignment horizontal="left" vertical="center"/>
      <protection locked="0"/>
    </xf>
    <xf numFmtId="49" fontId="3" fillId="6" borderId="7" xfId="0" applyNumberFormat="1" applyFont="1" applyFill="1" applyBorder="1" applyAlignment="1" applyProtection="1">
      <alignment horizontal="left" vertical="center"/>
      <protection locked="0"/>
    </xf>
    <xf numFmtId="49" fontId="3" fillId="7" borderId="5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top" wrapText="1"/>
    </xf>
    <xf numFmtId="0" fontId="72" fillId="0" borderId="83" xfId="0" applyFont="1" applyBorder="1" applyAlignment="1">
      <alignment wrapText="1"/>
    </xf>
    <xf numFmtId="0" fontId="72" fillId="0" borderId="83" xfId="0" applyFont="1" applyBorder="1"/>
    <xf numFmtId="0" fontId="16" fillId="0" borderId="84" xfId="0" applyFont="1" applyBorder="1" applyAlignment="1">
      <alignment wrapText="1"/>
    </xf>
    <xf numFmtId="0" fontId="1" fillId="8" borderId="0" xfId="0" applyFont="1" applyFill="1" applyAlignment="1">
      <alignment wrapText="1"/>
    </xf>
    <xf numFmtId="0" fontId="4" fillId="8" borderId="0" xfId="0" applyFont="1" applyFill="1"/>
    <xf numFmtId="0" fontId="19" fillId="0" borderId="0" xfId="1" applyAlignment="1" applyProtection="1">
      <alignment vertical="center"/>
      <protection locked="0"/>
    </xf>
    <xf numFmtId="0" fontId="5" fillId="10" borderId="152" xfId="2" applyFont="1" applyFill="1" applyBorder="1" applyAlignment="1" applyProtection="1">
      <alignment horizontal="center" vertical="center"/>
      <protection locked="0"/>
    </xf>
    <xf numFmtId="0" fontId="5" fillId="0" borderId="152" xfId="2" applyFont="1" applyBorder="1" applyAlignment="1">
      <alignment horizontal="center" vertical="center"/>
    </xf>
    <xf numFmtId="0" fontId="14" fillId="23" borderId="0" xfId="0" applyFont="1" applyFill="1" applyAlignment="1">
      <alignment horizontal="center" wrapText="1"/>
    </xf>
    <xf numFmtId="0" fontId="6" fillId="16" borderId="10" xfId="0" applyFont="1" applyFill="1" applyBorder="1" applyAlignment="1">
      <alignment horizontal="left" vertical="top"/>
    </xf>
    <xf numFmtId="0" fontId="6" fillId="16" borderId="5" xfId="0" applyFont="1" applyFill="1" applyBorder="1" applyAlignment="1">
      <alignment horizontal="left" vertical="top"/>
    </xf>
    <xf numFmtId="0" fontId="6" fillId="16" borderId="89" xfId="0" applyFont="1" applyFill="1" applyBorder="1" applyAlignment="1">
      <alignment horizontal="left" vertical="top"/>
    </xf>
    <xf numFmtId="0" fontId="0" fillId="10" borderId="0" xfId="0" applyFill="1"/>
    <xf numFmtId="165" fontId="6" fillId="12" borderId="109" xfId="0" applyNumberFormat="1" applyFont="1" applyFill="1" applyBorder="1" applyAlignment="1" applyProtection="1">
      <alignment horizontal="left" vertical="top" wrapText="1"/>
      <protection locked="0"/>
    </xf>
    <xf numFmtId="165" fontId="6" fillId="12" borderId="131" xfId="0" applyNumberFormat="1" applyFont="1" applyFill="1" applyBorder="1" applyAlignment="1" applyProtection="1">
      <alignment horizontal="left" vertical="top" wrapText="1"/>
      <protection locked="0"/>
    </xf>
    <xf numFmtId="165" fontId="6" fillId="12" borderId="110" xfId="0" applyNumberFormat="1" applyFont="1" applyFill="1" applyBorder="1" applyAlignment="1" applyProtection="1">
      <alignment horizontal="left" vertical="top" wrapText="1"/>
      <protection locked="0"/>
    </xf>
    <xf numFmtId="0" fontId="19" fillId="42" borderId="0" xfId="1" applyFill="1" applyAlignment="1"/>
    <xf numFmtId="0" fontId="18" fillId="2" borderId="121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2" fillId="2" borderId="134" xfId="0" applyFont="1" applyFill="1" applyBorder="1" applyAlignment="1">
      <alignment horizontal="left" vertical="top"/>
    </xf>
    <xf numFmtId="0" fontId="2" fillId="2" borderId="135" xfId="0" applyFont="1" applyFill="1" applyBorder="1" applyAlignment="1">
      <alignment horizontal="left" vertical="top"/>
    </xf>
    <xf numFmtId="0" fontId="21" fillId="2" borderId="137" xfId="0" applyFont="1" applyFill="1" applyBorder="1" applyAlignment="1">
      <alignment horizontal="left" vertical="center"/>
    </xf>
    <xf numFmtId="0" fontId="21" fillId="2" borderId="133" xfId="0" applyFont="1" applyFill="1" applyBorder="1" applyAlignment="1">
      <alignment horizontal="left" vertical="center"/>
    </xf>
    <xf numFmtId="0" fontId="2" fillId="22" borderId="164" xfId="0" applyFont="1" applyFill="1" applyBorder="1" applyAlignment="1">
      <alignment horizontal="left" vertical="top"/>
    </xf>
    <xf numFmtId="0" fontId="0" fillId="23" borderId="118" xfId="0" applyFill="1" applyBorder="1" applyAlignment="1">
      <alignment wrapText="1"/>
    </xf>
    <xf numFmtId="0" fontId="0" fillId="23" borderId="165" xfId="0" applyFill="1" applyBorder="1" applyAlignment="1">
      <alignment wrapText="1"/>
    </xf>
    <xf numFmtId="1" fontId="2" fillId="22" borderId="0" xfId="0" applyNumberFormat="1" applyFont="1" applyFill="1" applyAlignment="1">
      <alignment horizontal="center" wrapText="1"/>
    </xf>
    <xf numFmtId="1" fontId="2" fillId="22" borderId="13" xfId="0" applyNumberFormat="1" applyFont="1" applyFill="1" applyBorder="1" applyAlignment="1">
      <alignment horizontal="center" wrapText="1"/>
    </xf>
    <xf numFmtId="9" fontId="2" fillId="22" borderId="0" xfId="0" applyNumberFormat="1" applyFont="1" applyFill="1" applyAlignment="1">
      <alignment horizontal="center" wrapText="1"/>
    </xf>
    <xf numFmtId="9" fontId="2" fillId="22" borderId="13" xfId="0" applyNumberFormat="1" applyFont="1" applyFill="1" applyBorder="1" applyAlignment="1">
      <alignment horizontal="center" wrapText="1"/>
    </xf>
    <xf numFmtId="0" fontId="1" fillId="12" borderId="78" xfId="0" applyFont="1" applyFill="1" applyBorder="1" applyAlignment="1" applyProtection="1">
      <alignment horizontal="center" vertical="center" wrapText="1"/>
      <protection locked="0"/>
    </xf>
    <xf numFmtId="0" fontId="3" fillId="12" borderId="118" xfId="0" applyFont="1" applyFill="1" applyBorder="1" applyAlignment="1">
      <alignment horizontal="left" vertical="top" wrapText="1"/>
    </xf>
    <xf numFmtId="0" fontId="3" fillId="12" borderId="0" xfId="0" applyFont="1" applyFill="1" applyAlignment="1">
      <alignment horizontal="left" vertical="top" wrapText="1"/>
    </xf>
    <xf numFmtId="0" fontId="3" fillId="12" borderId="13" xfId="0" applyFont="1" applyFill="1" applyBorder="1" applyAlignment="1">
      <alignment horizontal="left" vertical="top" wrapText="1"/>
    </xf>
    <xf numFmtId="0" fontId="3" fillId="12" borderId="131" xfId="0" applyFont="1" applyFill="1" applyBorder="1" applyAlignment="1" applyProtection="1">
      <alignment horizontal="left" vertical="top" wrapText="1"/>
      <protection locked="0"/>
    </xf>
    <xf numFmtId="0" fontId="2" fillId="2" borderId="136" xfId="0" applyFont="1" applyFill="1" applyBorder="1" applyAlignment="1">
      <alignment horizontal="center" vertical="top"/>
    </xf>
    <xf numFmtId="0" fontId="2" fillId="2" borderId="135" xfId="0" applyFont="1" applyFill="1" applyBorder="1" applyAlignment="1">
      <alignment horizontal="center" vertical="top"/>
    </xf>
    <xf numFmtId="0" fontId="3" fillId="16" borderId="8" xfId="0" applyFont="1" applyFill="1" applyBorder="1" applyAlignment="1">
      <alignment horizontal="center" wrapText="1"/>
    </xf>
    <xf numFmtId="0" fontId="3" fillId="16" borderId="23" xfId="0" applyFont="1" applyFill="1" applyBorder="1" applyAlignment="1">
      <alignment horizontal="center" wrapText="1"/>
    </xf>
    <xf numFmtId="0" fontId="3" fillId="16" borderId="10" xfId="0" applyFont="1" applyFill="1" applyBorder="1" applyAlignment="1">
      <alignment horizontal="center" wrapText="1"/>
    </xf>
    <xf numFmtId="0" fontId="3" fillId="16" borderId="161" xfId="0" applyFont="1" applyFill="1" applyBorder="1" applyAlignment="1">
      <alignment horizontal="center" wrapText="1"/>
    </xf>
    <xf numFmtId="0" fontId="3" fillId="16" borderId="162" xfId="0" applyFont="1" applyFill="1" applyBorder="1" applyAlignment="1">
      <alignment horizontal="center" wrapText="1"/>
    </xf>
    <xf numFmtId="0" fontId="3" fillId="16" borderId="163" xfId="0" applyFont="1" applyFill="1" applyBorder="1" applyAlignment="1">
      <alignment horizontal="center" wrapText="1"/>
    </xf>
    <xf numFmtId="0" fontId="3" fillId="22" borderId="18" xfId="0" applyFont="1" applyFill="1" applyBorder="1" applyAlignment="1">
      <alignment horizontal="center" wrapText="1"/>
    </xf>
    <xf numFmtId="0" fontId="3" fillId="22" borderId="107" xfId="0" applyFont="1" applyFill="1" applyBorder="1" applyAlignment="1">
      <alignment horizontal="center" wrapText="1"/>
    </xf>
    <xf numFmtId="0" fontId="2" fillId="22" borderId="164" xfId="0" applyFont="1" applyFill="1" applyBorder="1" applyAlignment="1">
      <alignment horizontal="left"/>
    </xf>
    <xf numFmtId="0" fontId="0" fillId="22" borderId="118" xfId="0" applyFill="1" applyBorder="1" applyAlignment="1">
      <alignment wrapText="1"/>
    </xf>
    <xf numFmtId="0" fontId="0" fillId="22" borderId="165" xfId="0" applyFill="1" applyBorder="1" applyAlignment="1">
      <alignment wrapText="1"/>
    </xf>
    <xf numFmtId="0" fontId="3" fillId="22" borderId="77" xfId="0" applyFont="1" applyFill="1" applyBorder="1" applyAlignment="1">
      <alignment horizontal="center" wrapText="1"/>
    </xf>
    <xf numFmtId="0" fontId="3" fillId="22" borderId="25" xfId="0" applyFont="1" applyFill="1" applyBorder="1" applyAlignment="1">
      <alignment horizontal="center" wrapText="1"/>
    </xf>
    <xf numFmtId="0" fontId="70" fillId="0" borderId="0" xfId="0" applyFont="1" applyAlignment="1">
      <alignment horizontal="left" vertical="top" wrapText="1"/>
    </xf>
    <xf numFmtId="0" fontId="30" fillId="0" borderId="7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7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89" xfId="0" applyBorder="1" applyAlignment="1">
      <alignment horizontal="left" wrapText="1"/>
    </xf>
    <xf numFmtId="0" fontId="1" fillId="0" borderId="7" xfId="0" quotePrefix="1" applyFont="1" applyBorder="1" applyAlignment="1">
      <alignment horizontal="left" wrapText="1"/>
    </xf>
    <xf numFmtId="0" fontId="1" fillId="0" borderId="15" xfId="0" quotePrefix="1" applyFont="1" applyBorder="1" applyAlignment="1">
      <alignment horizontal="left" wrapText="1"/>
    </xf>
    <xf numFmtId="0" fontId="4" fillId="10" borderId="152" xfId="2" applyFill="1" applyBorder="1" applyAlignment="1" applyProtection="1">
      <alignment horizontal="center" vertical="center"/>
      <protection locked="0"/>
    </xf>
    <xf numFmtId="0" fontId="4" fillId="10" borderId="155" xfId="2" applyFill="1" applyBorder="1" applyAlignment="1" applyProtection="1">
      <alignment horizontal="center" vertical="center"/>
      <protection locked="0"/>
    </xf>
    <xf numFmtId="0" fontId="4" fillId="23" borderId="150" xfId="2" applyFill="1" applyBorder="1" applyAlignment="1" applyProtection="1">
      <alignment horizontal="center" vertical="center"/>
      <protection locked="0"/>
    </xf>
    <xf numFmtId="0" fontId="4" fillId="23" borderId="152" xfId="2" applyFill="1" applyBorder="1" applyAlignment="1" applyProtection="1">
      <alignment horizontal="center" vertical="center"/>
      <protection locked="0"/>
    </xf>
    <xf numFmtId="0" fontId="4" fillId="23" borderId="155" xfId="2" applyFill="1" applyBorder="1" applyAlignment="1" applyProtection="1">
      <alignment horizontal="center" vertical="center"/>
      <protection locked="0"/>
    </xf>
    <xf numFmtId="0" fontId="14" fillId="0" borderId="265" xfId="2" applyFont="1" applyBorder="1" applyAlignment="1">
      <alignment horizontal="left" vertical="center"/>
    </xf>
    <xf numFmtId="0" fontId="14" fillId="0" borderId="266" xfId="2" applyFont="1" applyBorder="1" applyAlignment="1">
      <alignment horizontal="left" vertical="center"/>
    </xf>
    <xf numFmtId="0" fontId="4" fillId="0" borderId="138" xfId="2" applyBorder="1" applyAlignment="1" applyProtection="1">
      <alignment horizontal="center" vertical="center"/>
      <protection locked="0"/>
    </xf>
    <xf numFmtId="0" fontId="4" fillId="0" borderId="257" xfId="2" applyBorder="1" applyAlignment="1" applyProtection="1">
      <alignment horizontal="center" vertical="center"/>
      <protection locked="0"/>
    </xf>
    <xf numFmtId="0" fontId="4" fillId="0" borderId="258" xfId="2" applyBorder="1" applyAlignment="1" applyProtection="1">
      <alignment horizontal="center" vertical="center"/>
      <protection locked="0"/>
    </xf>
    <xf numFmtId="0" fontId="21" fillId="0" borderId="259" xfId="2" applyFont="1" applyBorder="1" applyAlignment="1">
      <alignment horizontal="left" vertical="center"/>
    </xf>
    <xf numFmtId="0" fontId="21" fillId="0" borderId="260" xfId="2" applyFont="1" applyBorder="1" applyAlignment="1">
      <alignment horizontal="left" vertical="center"/>
    </xf>
    <xf numFmtId="172" fontId="21" fillId="0" borderId="260" xfId="2" applyNumberFormat="1" applyFont="1" applyBorder="1" applyAlignment="1">
      <alignment horizontal="center" vertical="center"/>
    </xf>
    <xf numFmtId="172" fontId="21" fillId="0" borderId="260" xfId="2" applyNumberFormat="1" applyFont="1" applyBorder="1" applyAlignment="1" applyProtection="1">
      <alignment horizontal="center" vertical="center"/>
      <protection locked="0"/>
    </xf>
    <xf numFmtId="172" fontId="21" fillId="0" borderId="261" xfId="2" applyNumberFormat="1" applyFont="1" applyBorder="1" applyAlignment="1" applyProtection="1">
      <alignment horizontal="center" vertical="center"/>
      <protection locked="0"/>
    </xf>
    <xf numFmtId="0" fontId="4" fillId="0" borderId="150" xfId="2" applyBorder="1" applyAlignment="1" applyProtection="1">
      <alignment horizontal="center" vertical="center"/>
      <protection locked="0"/>
    </xf>
    <xf numFmtId="0" fontId="4" fillId="0" borderId="152" xfId="2" applyBorder="1" applyAlignment="1" applyProtection="1">
      <alignment horizontal="center" vertical="center"/>
      <protection locked="0"/>
    </xf>
    <xf numFmtId="0" fontId="4" fillId="0" borderId="155" xfId="2" applyBorder="1" applyAlignment="1" applyProtection="1">
      <alignment horizontal="center" vertical="center"/>
      <protection locked="0"/>
    </xf>
    <xf numFmtId="0" fontId="4" fillId="0" borderId="150" xfId="2" applyBorder="1" applyAlignment="1">
      <alignment horizontal="left" vertical="center"/>
    </xf>
    <xf numFmtId="0" fontId="4" fillId="0" borderId="152" xfId="2" applyBorder="1" applyAlignment="1">
      <alignment horizontal="left" vertical="center"/>
    </xf>
    <xf numFmtId="49" fontId="4" fillId="10" borderId="152" xfId="2" applyNumberFormat="1" applyFill="1" applyBorder="1" applyAlignment="1" applyProtection="1">
      <alignment horizontal="center" vertical="center"/>
      <protection locked="0"/>
    </xf>
    <xf numFmtId="172" fontId="24" fillId="0" borderId="152" xfId="2" applyNumberFormat="1" applyFont="1" applyBorder="1" applyAlignment="1" applyProtection="1">
      <alignment horizontal="center" vertical="center"/>
      <protection locked="0"/>
    </xf>
    <xf numFmtId="172" fontId="24" fillId="0" borderId="155" xfId="2" applyNumberFormat="1" applyFont="1" applyBorder="1" applyAlignment="1" applyProtection="1">
      <alignment horizontal="center" vertical="center"/>
      <protection locked="0"/>
    </xf>
    <xf numFmtId="0" fontId="12" fillId="0" borderId="262" xfId="2" applyFont="1" applyBorder="1" applyAlignment="1">
      <alignment horizontal="left" vertical="center"/>
    </xf>
    <xf numFmtId="0" fontId="12" fillId="0" borderId="265" xfId="2" applyFont="1" applyBorder="1" applyAlignment="1">
      <alignment horizontal="left" vertical="center"/>
    </xf>
    <xf numFmtId="0" fontId="4" fillId="10" borderId="265" xfId="2" applyFill="1" applyBorder="1" applyAlignment="1" applyProtection="1">
      <alignment horizontal="center" vertical="center"/>
      <protection locked="0"/>
    </xf>
    <xf numFmtId="172" fontId="24" fillId="0" borderId="263" xfId="2" applyNumberFormat="1" applyFont="1" applyBorder="1" applyAlignment="1" applyProtection="1">
      <alignment vertical="center"/>
      <protection locked="0"/>
    </xf>
    <xf numFmtId="172" fontId="24" fillId="0" borderId="264" xfId="2" applyNumberFormat="1" applyFont="1" applyBorder="1" applyAlignment="1" applyProtection="1">
      <alignment vertical="center"/>
      <protection locked="0"/>
    </xf>
    <xf numFmtId="49" fontId="4" fillId="10" borderId="152" xfId="2" applyNumberFormat="1" applyFill="1" applyBorder="1" applyAlignment="1" applyProtection="1">
      <alignment vertical="center"/>
      <protection locked="0"/>
    </xf>
    <xf numFmtId="0" fontId="7" fillId="10" borderId="263" xfId="2" applyFont="1" applyFill="1" applyBorder="1" applyAlignment="1" applyProtection="1">
      <alignment horizontal="left" vertical="center"/>
      <protection locked="0"/>
    </xf>
    <xf numFmtId="0" fontId="7" fillId="10" borderId="131" xfId="2" applyFont="1" applyFill="1" applyBorder="1" applyAlignment="1" applyProtection="1">
      <alignment horizontal="left" vertical="center"/>
      <protection locked="0"/>
    </xf>
    <xf numFmtId="0" fontId="7" fillId="10" borderId="264" xfId="2" applyFont="1" applyFill="1" applyBorder="1" applyAlignment="1" applyProtection="1">
      <alignment horizontal="left" vertical="center"/>
      <protection locked="0"/>
    </xf>
    <xf numFmtId="0" fontId="58" fillId="0" borderId="0" xfId="2" applyFont="1" applyAlignment="1" applyProtection="1">
      <alignment horizontal="center" vertical="center"/>
      <protection locked="0"/>
    </xf>
    <xf numFmtId="0" fontId="12" fillId="0" borderId="259" xfId="2" applyFont="1" applyBorder="1" applyAlignment="1">
      <alignment horizontal="left" vertical="center"/>
    </xf>
    <xf numFmtId="0" fontId="12" fillId="0" borderId="260" xfId="2" applyFont="1" applyBorder="1" applyAlignment="1">
      <alignment horizontal="left" vertical="center"/>
    </xf>
    <xf numFmtId="0" fontId="12" fillId="0" borderId="261" xfId="2" applyFont="1" applyBorder="1" applyAlignment="1">
      <alignment horizontal="left" vertical="center"/>
    </xf>
    <xf numFmtId="3" fontId="5" fillId="23" borderId="152" xfId="2" applyNumberFormat="1" applyFont="1" applyFill="1" applyBorder="1" applyAlignment="1" applyProtection="1">
      <alignment horizontal="center" vertical="center"/>
      <protection locked="0"/>
    </xf>
    <xf numFmtId="0" fontId="5" fillId="23" borderId="152" xfId="2" applyFont="1" applyFill="1" applyBorder="1" applyAlignment="1" applyProtection="1">
      <alignment horizontal="center" vertical="center"/>
      <protection locked="0"/>
    </xf>
    <xf numFmtId="0" fontId="24" fillId="0" borderId="2" xfId="2" applyFont="1" applyBorder="1" applyAlignment="1" applyProtection="1">
      <alignment horizontal="center" vertical="center"/>
      <protection locked="0"/>
    </xf>
    <xf numFmtId="0" fontId="12" fillId="0" borderId="267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139" xfId="2" applyFont="1" applyBorder="1" applyAlignment="1">
      <alignment horizontal="left" vertical="center"/>
    </xf>
    <xf numFmtId="0" fontId="4" fillId="0" borderId="158" xfId="2" applyBorder="1" applyAlignment="1">
      <alignment horizontal="left" vertical="center"/>
    </xf>
    <xf numFmtId="0" fontId="4" fillId="0" borderId="22" xfId="2" applyBorder="1" applyAlignment="1">
      <alignment horizontal="left" vertical="center"/>
    </xf>
    <xf numFmtId="0" fontId="4" fillId="0" borderId="154" xfId="2" applyBorder="1" applyAlignment="1">
      <alignment horizontal="left" vertical="center"/>
    </xf>
    <xf numFmtId="172" fontId="4" fillId="0" borderId="153" xfId="2" applyNumberFormat="1" applyBorder="1" applyAlignment="1">
      <alignment horizontal="center" vertical="center"/>
    </xf>
    <xf numFmtId="172" fontId="4" fillId="0" borderId="154" xfId="2" applyNumberFormat="1" applyBorder="1" applyAlignment="1">
      <alignment horizontal="center" vertical="center"/>
    </xf>
    <xf numFmtId="0" fontId="58" fillId="0" borderId="153" xfId="2" applyFont="1" applyBorder="1" applyAlignment="1" applyProtection="1">
      <alignment horizontal="center" vertical="center"/>
      <protection locked="0"/>
    </xf>
    <xf numFmtId="0" fontId="58" fillId="0" borderId="159" xfId="2" applyFont="1" applyBorder="1" applyAlignment="1" applyProtection="1">
      <alignment horizontal="center" vertical="center"/>
      <protection locked="0"/>
    </xf>
    <xf numFmtId="0" fontId="7" fillId="10" borderId="152" xfId="2" applyFont="1" applyFill="1" applyBorder="1" applyAlignment="1" applyProtection="1">
      <alignment vertical="center"/>
      <protection locked="0"/>
    </xf>
    <xf numFmtId="0" fontId="5" fillId="0" borderId="152" xfId="2" applyFont="1" applyBorder="1" applyAlignment="1" applyProtection="1">
      <alignment vertical="center"/>
      <protection locked="0"/>
    </xf>
    <xf numFmtId="14" fontId="68" fillId="10" borderId="152" xfId="2" applyNumberFormat="1" applyFont="1" applyFill="1" applyBorder="1" applyAlignment="1" applyProtection="1">
      <alignment horizontal="left" vertical="center"/>
      <protection locked="0"/>
    </xf>
    <xf numFmtId="14" fontId="68" fillId="10" borderId="155" xfId="2" applyNumberFormat="1" applyFont="1" applyFill="1" applyBorder="1" applyAlignment="1" applyProtection="1">
      <alignment horizontal="left" vertical="center"/>
      <protection locked="0"/>
    </xf>
    <xf numFmtId="0" fontId="22" fillId="0" borderId="138" xfId="2" applyFont="1" applyBorder="1" applyAlignment="1">
      <alignment horizontal="left" vertical="center"/>
    </xf>
    <xf numFmtId="0" fontId="22" fillId="0" borderId="257" xfId="2" applyFont="1" applyBorder="1" applyAlignment="1">
      <alignment horizontal="left" vertical="center"/>
    </xf>
    <xf numFmtId="0" fontId="22" fillId="0" borderId="257" xfId="2" applyFont="1" applyBorder="1" applyAlignment="1">
      <alignment horizontal="center" vertical="center"/>
    </xf>
    <xf numFmtId="0" fontId="22" fillId="0" borderId="258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144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151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57" fillId="0" borderId="1" xfId="2" applyFont="1" applyBorder="1" applyAlignment="1">
      <alignment horizontal="center" vertical="center"/>
    </xf>
    <xf numFmtId="0" fontId="57" fillId="0" borderId="2" xfId="2" applyFont="1" applyBorder="1" applyAlignment="1">
      <alignment horizontal="center" vertical="center"/>
    </xf>
    <xf numFmtId="0" fontId="27" fillId="10" borderId="260" xfId="2" applyFont="1" applyFill="1" applyBorder="1" applyAlignment="1" applyProtection="1">
      <alignment horizontal="left" vertical="center"/>
      <protection locked="0"/>
    </xf>
    <xf numFmtId="0" fontId="27" fillId="10" borderId="261" xfId="2" applyFont="1" applyFill="1" applyBorder="1" applyAlignment="1" applyProtection="1">
      <alignment horizontal="left" vertical="center"/>
      <protection locked="0"/>
    </xf>
    <xf numFmtId="172" fontId="58" fillId="0" borderId="263" xfId="2" applyNumberFormat="1" applyFont="1" applyBorder="1" applyAlignment="1">
      <alignment horizontal="center" vertical="center"/>
    </xf>
    <xf numFmtId="172" fontId="58" fillId="0" borderId="264" xfId="2" applyNumberFormat="1" applyFont="1" applyBorder="1" applyAlignment="1">
      <alignment horizontal="center" vertical="center"/>
    </xf>
    <xf numFmtId="0" fontId="4" fillId="10" borderId="270" xfId="2" applyFill="1" applyBorder="1" applyAlignment="1" applyProtection="1">
      <alignment horizontal="center" vertical="center"/>
      <protection locked="0"/>
    </xf>
    <xf numFmtId="0" fontId="4" fillId="10" borderId="42" xfId="2" applyFill="1" applyBorder="1" applyAlignment="1" applyProtection="1">
      <alignment horizontal="center" vertical="center"/>
      <protection locked="0"/>
    </xf>
    <xf numFmtId="0" fontId="4" fillId="10" borderId="139" xfId="2" applyFill="1" applyBorder="1" applyAlignment="1" applyProtection="1">
      <alignment horizontal="center" vertical="center"/>
      <protection locked="0"/>
    </xf>
    <xf numFmtId="0" fontId="4" fillId="10" borderId="153" xfId="2" applyFill="1" applyBorder="1" applyAlignment="1" applyProtection="1">
      <alignment horizontal="center" vertical="center"/>
      <protection locked="0"/>
    </xf>
    <xf numFmtId="0" fontId="4" fillId="10" borderId="22" xfId="2" applyFill="1" applyBorder="1" applyAlignment="1" applyProtection="1">
      <alignment horizontal="center" vertical="center"/>
      <protection locked="0"/>
    </xf>
    <xf numFmtId="0" fontId="4" fillId="10" borderId="159" xfId="2" applyFill="1" applyBorder="1" applyAlignment="1" applyProtection="1">
      <alignment horizontal="center" vertical="center"/>
      <protection locked="0"/>
    </xf>
    <xf numFmtId="0" fontId="4" fillId="10" borderId="140" xfId="2" applyFill="1" applyBorder="1" applyAlignment="1">
      <alignment horizontal="center" vertical="center"/>
    </xf>
    <xf numFmtId="0" fontId="4" fillId="10" borderId="145" xfId="2" applyFill="1" applyBorder="1" applyAlignment="1">
      <alignment horizontal="center" vertical="center"/>
    </xf>
    <xf numFmtId="0" fontId="4" fillId="10" borderId="141" xfId="2" applyFill="1" applyBorder="1" applyAlignment="1" applyProtection="1">
      <alignment horizontal="center" vertical="center"/>
      <protection locked="0"/>
    </xf>
    <xf numFmtId="0" fontId="4" fillId="10" borderId="142" xfId="2" applyFill="1" applyBorder="1" applyAlignment="1" applyProtection="1">
      <alignment horizontal="center" vertical="center"/>
      <protection locked="0"/>
    </xf>
    <xf numFmtId="0" fontId="4" fillId="10" borderId="148" xfId="2" applyFill="1" applyBorder="1" applyAlignment="1" applyProtection="1">
      <alignment horizontal="center" vertical="center"/>
      <protection locked="0"/>
    </xf>
    <xf numFmtId="0" fontId="4" fillId="10" borderId="146" xfId="2" applyFill="1" applyBorder="1" applyAlignment="1" applyProtection="1">
      <alignment horizontal="center" vertical="center"/>
      <protection locked="0"/>
    </xf>
    <xf numFmtId="0" fontId="4" fillId="10" borderId="63" xfId="2" applyFill="1" applyBorder="1" applyAlignment="1" applyProtection="1">
      <alignment horizontal="center" vertical="center"/>
      <protection locked="0"/>
    </xf>
    <xf numFmtId="0" fontId="4" fillId="10" borderId="149" xfId="2" applyFill="1" applyBorder="1" applyAlignment="1" applyProtection="1">
      <alignment horizontal="center" vertical="center"/>
      <protection locked="0"/>
    </xf>
    <xf numFmtId="0" fontId="60" fillId="0" borderId="151" xfId="2" applyFont="1" applyBorder="1" applyAlignment="1" applyProtection="1">
      <alignment horizontal="left" vertical="center"/>
      <protection locked="0"/>
    </xf>
    <xf numFmtId="0" fontId="60" fillId="0" borderId="0" xfId="2" applyFont="1" applyAlignment="1" applyProtection="1">
      <alignment horizontal="left" vertical="center"/>
      <protection locked="0"/>
    </xf>
    <xf numFmtId="0" fontId="60" fillId="0" borderId="144" xfId="2" applyFont="1" applyBorder="1" applyAlignment="1" applyProtection="1">
      <alignment horizontal="left" vertical="center"/>
      <protection locked="0"/>
    </xf>
    <xf numFmtId="172" fontId="24" fillId="10" borderId="153" xfId="2" applyNumberFormat="1" applyFont="1" applyFill="1" applyBorder="1" applyAlignment="1" applyProtection="1">
      <alignment vertical="center"/>
      <protection locked="0"/>
    </xf>
    <xf numFmtId="172" fontId="24" fillId="10" borderId="159" xfId="2" applyNumberFormat="1" applyFont="1" applyFill="1" applyBorder="1" applyAlignment="1" applyProtection="1">
      <alignment vertical="center"/>
      <protection locked="0"/>
    </xf>
    <xf numFmtId="172" fontId="58" fillId="0" borderId="153" xfId="2" applyNumberFormat="1" applyFont="1" applyBorder="1" applyAlignment="1">
      <alignment horizontal="center" vertical="center"/>
    </xf>
    <xf numFmtId="172" fontId="58" fillId="0" borderId="159" xfId="2" applyNumberFormat="1" applyFont="1" applyBorder="1" applyAlignment="1">
      <alignment horizontal="center" vertical="center"/>
    </xf>
    <xf numFmtId="172" fontId="24" fillId="0" borderId="153" xfId="2" applyNumberFormat="1" applyFont="1" applyBorder="1" applyAlignment="1">
      <alignment horizontal="center" vertical="center"/>
    </xf>
    <xf numFmtId="172" fontId="24" fillId="0" borderId="159" xfId="2" applyNumberFormat="1" applyFont="1" applyBorder="1" applyAlignment="1">
      <alignment horizontal="center" vertical="center"/>
    </xf>
    <xf numFmtId="172" fontId="24" fillId="0" borderId="270" xfId="2" applyNumberFormat="1" applyFont="1" applyBorder="1" applyAlignment="1">
      <alignment horizontal="center" vertical="center"/>
    </xf>
    <xf numFmtId="172" fontId="24" fillId="0" borderId="139" xfId="2" applyNumberFormat="1" applyFont="1" applyBorder="1" applyAlignment="1">
      <alignment horizontal="center" vertical="center"/>
    </xf>
    <xf numFmtId="0" fontId="58" fillId="0" borderId="153" xfId="2" applyFont="1" applyBorder="1" applyAlignment="1">
      <alignment horizontal="center" vertical="center"/>
    </xf>
    <xf numFmtId="0" fontId="58" fillId="0" borderId="159" xfId="2" applyFont="1" applyBorder="1" applyAlignment="1">
      <alignment horizontal="center" vertical="center"/>
    </xf>
    <xf numFmtId="172" fontId="24" fillId="10" borderId="153" xfId="2" applyNumberFormat="1" applyFont="1" applyFill="1" applyBorder="1" applyAlignment="1" applyProtection="1">
      <alignment horizontal="center" vertical="center"/>
      <protection locked="0"/>
    </xf>
    <xf numFmtId="172" fontId="24" fillId="10" borderId="159" xfId="2" applyNumberFormat="1" applyFont="1" applyFill="1" applyBorder="1" applyAlignment="1" applyProtection="1">
      <alignment horizontal="center" vertical="center"/>
      <protection locked="0"/>
    </xf>
    <xf numFmtId="0" fontId="64" fillId="0" borderId="265" xfId="2" applyFont="1" applyBorder="1" applyAlignment="1">
      <alignment vertical="center" wrapText="1"/>
    </xf>
    <xf numFmtId="0" fontId="24" fillId="0" borderId="265" xfId="2" applyFont="1" applyBorder="1" applyAlignment="1">
      <alignment vertical="center" wrapText="1"/>
    </xf>
    <xf numFmtId="0" fontId="24" fillId="0" borderId="266" xfId="2" applyFont="1" applyBorder="1" applyAlignment="1">
      <alignment vertical="center" wrapText="1"/>
    </xf>
    <xf numFmtId="0" fontId="4" fillId="0" borderId="153" xfId="2" applyBorder="1" applyAlignment="1">
      <alignment horizontal="center" vertical="center"/>
    </xf>
    <xf numFmtId="0" fontId="4" fillId="0" borderId="154" xfId="2" applyBorder="1" applyAlignment="1">
      <alignment horizontal="center" vertical="center"/>
    </xf>
    <xf numFmtId="0" fontId="21" fillId="0" borderId="263" xfId="2" applyFont="1" applyBorder="1" applyAlignment="1">
      <alignment horizontal="center" vertical="center"/>
    </xf>
    <xf numFmtId="0" fontId="21" fillId="0" borderId="269" xfId="2" applyFont="1" applyBorder="1" applyAlignment="1">
      <alignment horizontal="center" vertical="center"/>
    </xf>
    <xf numFmtId="0" fontId="4" fillId="0" borderId="265" xfId="2" applyBorder="1" applyAlignment="1" applyProtection="1">
      <alignment horizontal="center" vertical="center"/>
      <protection locked="0"/>
    </xf>
    <xf numFmtId="0" fontId="4" fillId="0" borderId="266" xfId="2" applyBorder="1" applyAlignment="1" applyProtection="1">
      <alignment horizontal="center" vertical="center"/>
      <protection locked="0"/>
    </xf>
    <xf numFmtId="0" fontId="58" fillId="0" borderId="270" xfId="2" applyFont="1" applyBorder="1" applyAlignment="1">
      <alignment horizontal="center" vertical="center"/>
    </xf>
    <xf numFmtId="0" fontId="58" fillId="0" borderId="271" xfId="2" applyFont="1" applyBorder="1" applyAlignment="1">
      <alignment horizontal="center" vertical="center"/>
    </xf>
    <xf numFmtId="171" fontId="24" fillId="0" borderId="153" xfId="2" applyNumberFormat="1" applyFont="1" applyBorder="1" applyAlignment="1">
      <alignment horizontal="center" vertical="center"/>
    </xf>
    <xf numFmtId="171" fontId="24" fillId="0" borderId="154" xfId="2" applyNumberFormat="1" applyFont="1" applyBorder="1" applyAlignment="1">
      <alignment horizontal="center" vertical="center"/>
    </xf>
    <xf numFmtId="14" fontId="7" fillId="10" borderId="263" xfId="2" applyNumberFormat="1" applyFont="1" applyFill="1" applyBorder="1" applyAlignment="1" applyProtection="1">
      <alignment horizontal="left" vertical="center"/>
      <protection locked="0"/>
    </xf>
    <xf numFmtId="0" fontId="5" fillId="10" borderId="131" xfId="2" applyFont="1" applyFill="1" applyBorder="1" applyAlignment="1" applyProtection="1">
      <alignment horizontal="left" vertical="center"/>
      <protection locked="0"/>
    </xf>
    <xf numFmtId="0" fontId="5" fillId="10" borderId="269" xfId="2" applyFont="1" applyFill="1" applyBorder="1" applyAlignment="1" applyProtection="1">
      <alignment horizontal="left" vertical="center"/>
      <protection locked="0"/>
    </xf>
    <xf numFmtId="0" fontId="21" fillId="0" borderId="2" xfId="2" applyFon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/>
      <protection locked="0"/>
    </xf>
    <xf numFmtId="0" fontId="12" fillId="0" borderId="270" xfId="2" applyFont="1" applyBorder="1" applyAlignment="1">
      <alignment horizontal="center" vertical="center" wrapText="1"/>
    </xf>
    <xf numFmtId="0" fontId="12" fillId="0" borderId="271" xfId="2" applyFont="1" applyBorder="1" applyAlignment="1">
      <alignment horizontal="center" vertical="center" wrapText="1"/>
    </xf>
    <xf numFmtId="0" fontId="12" fillId="0" borderId="270" xfId="2" applyFont="1" applyBorder="1" applyAlignment="1">
      <alignment horizontal="center" vertical="center"/>
    </xf>
    <xf numFmtId="0" fontId="12" fillId="0" borderId="139" xfId="2" applyFont="1" applyBorder="1" applyAlignment="1">
      <alignment horizontal="center" vertical="center"/>
    </xf>
    <xf numFmtId="0" fontId="63" fillId="0" borderId="268" xfId="2" applyFont="1" applyBorder="1" applyAlignment="1">
      <alignment horizontal="center" vertical="center"/>
    </xf>
    <xf numFmtId="0" fontId="63" fillId="0" borderId="63" xfId="2" applyFont="1" applyBorder="1" applyAlignment="1">
      <alignment horizontal="center" vertical="center"/>
    </xf>
    <xf numFmtId="0" fontId="7" fillId="10" borderId="153" xfId="2" applyFont="1" applyFill="1" applyBorder="1" applyAlignment="1" applyProtection="1">
      <alignment vertical="center"/>
      <protection locked="0"/>
    </xf>
    <xf numFmtId="0" fontId="5" fillId="0" borderId="22" xfId="2" applyFont="1" applyBorder="1" applyAlignment="1" applyProtection="1">
      <alignment vertical="center"/>
      <protection locked="0"/>
    </xf>
    <xf numFmtId="0" fontId="5" fillId="0" borderId="154" xfId="2" applyFont="1" applyBorder="1" applyAlignment="1" applyProtection="1">
      <alignment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144" xfId="2" applyFont="1" applyBorder="1" applyAlignment="1" applyProtection="1">
      <alignment horizontal="center" vertical="center"/>
      <protection locked="0"/>
    </xf>
    <xf numFmtId="0" fontId="5" fillId="10" borderId="22" xfId="2" applyFont="1" applyFill="1" applyBorder="1" applyAlignment="1" applyProtection="1">
      <alignment vertical="center"/>
      <protection locked="0"/>
    </xf>
    <xf numFmtId="0" fontId="5" fillId="10" borderId="154" xfId="2" applyFont="1" applyFill="1" applyBorder="1" applyAlignment="1" applyProtection="1">
      <alignment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4" fillId="0" borderId="144" xfId="2" applyBorder="1" applyAlignment="1" applyProtection="1">
      <alignment vertical="center"/>
      <protection locked="0"/>
    </xf>
    <xf numFmtId="0" fontId="58" fillId="0" borderId="152" xfId="2" applyFont="1" applyBorder="1" applyAlignment="1" applyProtection="1">
      <alignment horizontal="left" vertical="center"/>
      <protection locked="0"/>
    </xf>
    <xf numFmtId="0" fontId="58" fillId="0" borderId="140" xfId="2" applyFont="1" applyBorder="1" applyAlignment="1">
      <alignment vertical="center"/>
    </xf>
    <xf numFmtId="0" fontId="58" fillId="0" borderId="145" xfId="2" applyFont="1" applyBorder="1" applyAlignment="1">
      <alignment vertical="center"/>
    </xf>
    <xf numFmtId="0" fontId="4" fillId="10" borderId="260" xfId="2" applyFill="1" applyBorder="1" applyAlignment="1" applyProtection="1">
      <alignment horizontal="center" vertical="center"/>
      <protection locked="0"/>
    </xf>
    <xf numFmtId="0" fontId="4" fillId="10" borderId="261" xfId="2" applyFill="1" applyBorder="1" applyAlignment="1" applyProtection="1">
      <alignment horizontal="center" vertical="center"/>
      <protection locked="0"/>
    </xf>
    <xf numFmtId="0" fontId="4" fillId="10" borderId="152" xfId="2" applyFill="1" applyBorder="1" applyAlignment="1" applyProtection="1">
      <alignment horizontal="left" vertical="center"/>
      <protection locked="0"/>
    </xf>
    <xf numFmtId="0" fontId="4" fillId="10" borderId="155" xfId="2" applyFill="1" applyBorder="1" applyAlignment="1" applyProtection="1">
      <alignment horizontal="left" vertical="center"/>
      <protection locked="0"/>
    </xf>
    <xf numFmtId="0" fontId="4" fillId="10" borderId="150" xfId="2" applyFill="1" applyBorder="1" applyAlignment="1" applyProtection="1">
      <alignment horizontal="center" vertical="center"/>
      <protection locked="0"/>
    </xf>
    <xf numFmtId="0" fontId="67" fillId="0" borderId="2" xfId="2" applyFont="1" applyBorder="1" applyAlignment="1">
      <alignment horizontal="center" vertical="center"/>
    </xf>
    <xf numFmtId="0" fontId="27" fillId="10" borderId="275" xfId="2" applyFont="1" applyFill="1" applyBorder="1" applyAlignment="1" applyProtection="1">
      <alignment vertical="center"/>
      <protection locked="0"/>
    </xf>
    <xf numFmtId="0" fontId="5" fillId="0" borderId="257" xfId="2" applyFont="1" applyBorder="1" applyAlignment="1" applyProtection="1">
      <alignment vertical="center"/>
      <protection locked="0"/>
    </xf>
    <xf numFmtId="0" fontId="5" fillId="0" borderId="276" xfId="2" applyFont="1" applyBorder="1" applyAlignment="1" applyProtection="1">
      <alignment vertical="center"/>
      <protection locked="0"/>
    </xf>
    <xf numFmtId="0" fontId="7" fillId="10" borderId="141" xfId="2" applyFont="1" applyFill="1" applyBorder="1" applyAlignment="1" applyProtection="1">
      <alignment vertical="center"/>
      <protection locked="0"/>
    </xf>
    <xf numFmtId="0" fontId="5" fillId="0" borderId="142" xfId="2" applyFont="1" applyBorder="1" applyAlignment="1" applyProtection="1">
      <alignment vertical="center"/>
      <protection locked="0"/>
    </xf>
    <xf numFmtId="0" fontId="5" fillId="0" borderId="143" xfId="2" applyFont="1" applyBorder="1" applyAlignment="1" applyProtection="1">
      <alignment vertical="center"/>
      <protection locked="0"/>
    </xf>
    <xf numFmtId="0" fontId="27" fillId="10" borderId="153" xfId="2" applyFont="1" applyFill="1" applyBorder="1" applyAlignment="1" applyProtection="1">
      <alignment vertical="center"/>
      <protection locked="0"/>
    </xf>
    <xf numFmtId="0" fontId="5" fillId="10" borderId="159" xfId="2" applyFont="1" applyFill="1" applyBorder="1" applyAlignment="1" applyProtection="1">
      <alignment vertical="center"/>
      <protection locked="0"/>
    </xf>
    <xf numFmtId="0" fontId="4" fillId="10" borderId="260" xfId="2" applyFill="1" applyBorder="1" applyAlignment="1" applyProtection="1">
      <alignment horizontal="left" vertical="center"/>
      <protection locked="0"/>
    </xf>
    <xf numFmtId="0" fontId="4" fillId="10" borderId="261" xfId="2" applyFill="1" applyBorder="1" applyAlignment="1" applyProtection="1">
      <alignment horizontal="left" vertical="center"/>
      <protection locked="0"/>
    </xf>
    <xf numFmtId="0" fontId="4" fillId="10" borderId="150" xfId="2" applyFill="1" applyBorder="1" applyAlignment="1" applyProtection="1">
      <alignment horizontal="left" vertical="center"/>
      <protection locked="0"/>
    </xf>
    <xf numFmtId="0" fontId="4" fillId="10" borderId="260" xfId="2" applyFill="1" applyBorder="1" applyAlignment="1">
      <alignment horizontal="center" vertical="center"/>
    </xf>
    <xf numFmtId="0" fontId="4" fillId="10" borderId="261" xfId="2" applyFill="1" applyBorder="1" applyAlignment="1">
      <alignment horizontal="center" vertical="center"/>
    </xf>
    <xf numFmtId="0" fontId="4" fillId="23" borderId="140" xfId="2" applyFill="1" applyBorder="1" applyAlignment="1">
      <alignment horizontal="center" vertical="center"/>
    </xf>
    <xf numFmtId="0" fontId="4" fillId="23" borderId="284" xfId="2" applyFill="1" applyBorder="1" applyAlignment="1">
      <alignment horizontal="center" vertical="center"/>
    </xf>
    <xf numFmtId="0" fontId="4" fillId="23" borderId="145" xfId="2" applyFill="1" applyBorder="1" applyAlignment="1">
      <alignment horizontal="center" vertical="center"/>
    </xf>
    <xf numFmtId="0" fontId="4" fillId="23" borderId="152" xfId="2" applyFill="1" applyBorder="1" applyAlignment="1">
      <alignment horizontal="center" vertical="center"/>
    </xf>
    <xf numFmtId="0" fontId="4" fillId="23" borderId="155" xfId="2" applyFill="1" applyBorder="1" applyAlignment="1">
      <alignment horizontal="center" vertical="center"/>
    </xf>
    <xf numFmtId="49" fontId="24" fillId="23" borderId="153" xfId="2" applyNumberFormat="1" applyFont="1" applyFill="1" applyBorder="1" applyAlignment="1" applyProtection="1">
      <alignment horizontal="center" vertical="center"/>
      <protection locked="0"/>
    </xf>
    <xf numFmtId="49" fontId="24" fillId="23" borderId="22" xfId="2" applyNumberFormat="1" applyFont="1" applyFill="1" applyBorder="1" applyAlignment="1" applyProtection="1">
      <alignment horizontal="center" vertical="center"/>
      <protection locked="0"/>
    </xf>
    <xf numFmtId="49" fontId="24" fillId="23" borderId="154" xfId="2" applyNumberFormat="1" applyFont="1" applyFill="1" applyBorder="1" applyAlignment="1" applyProtection="1">
      <alignment horizontal="center" vertical="center"/>
      <protection locked="0"/>
    </xf>
    <xf numFmtId="172" fontId="24" fillId="23" borderId="153" xfId="2" applyNumberFormat="1" applyFont="1" applyFill="1" applyBorder="1" applyAlignment="1" applyProtection="1">
      <alignment horizontal="center" vertical="center"/>
      <protection locked="0"/>
    </xf>
    <xf numFmtId="172" fontId="24" fillId="23" borderId="159" xfId="2" applyNumberFormat="1" applyFont="1" applyFill="1" applyBorder="1" applyAlignment="1" applyProtection="1">
      <alignment horizontal="center" vertical="center"/>
      <protection locked="0"/>
    </xf>
    <xf numFmtId="0" fontId="24" fillId="0" borderId="263" xfId="2" applyFont="1" applyBorder="1" applyAlignment="1" applyProtection="1">
      <alignment horizontal="center" vertical="center"/>
      <protection locked="0"/>
    </xf>
    <xf numFmtId="0" fontId="24" fillId="0" borderId="131" xfId="2" applyFont="1" applyBorder="1" applyAlignment="1" applyProtection="1">
      <alignment horizontal="center" vertical="center"/>
      <protection locked="0"/>
    </xf>
    <xf numFmtId="0" fontId="24" fillId="0" borderId="269" xfId="2" applyFont="1" applyBorder="1" applyAlignment="1" applyProtection="1">
      <alignment horizontal="center" vertical="center"/>
      <protection locked="0"/>
    </xf>
    <xf numFmtId="172" fontId="24" fillId="23" borderId="263" xfId="2" applyNumberFormat="1" applyFont="1" applyFill="1" applyBorder="1" applyAlignment="1" applyProtection="1">
      <alignment horizontal="center" vertical="center"/>
      <protection locked="0"/>
    </xf>
    <xf numFmtId="172" fontId="24" fillId="23" borderId="264" xfId="2" applyNumberFormat="1" applyFont="1" applyFill="1" applyBorder="1" applyAlignment="1" applyProtection="1">
      <alignment horizontal="center" vertical="center"/>
      <protection locked="0"/>
    </xf>
    <xf numFmtId="0" fontId="21" fillId="0" borderId="279" xfId="2" applyFont="1" applyBorder="1" applyAlignment="1">
      <alignment horizontal="center" vertical="center"/>
    </xf>
    <xf numFmtId="0" fontId="21" fillId="0" borderId="280" xfId="2" applyFont="1" applyBorder="1" applyAlignment="1">
      <alignment horizontal="center" vertical="center"/>
    </xf>
    <xf numFmtId="0" fontId="21" fillId="0" borderId="281" xfId="2" applyFont="1" applyBorder="1" applyAlignment="1">
      <alignment horizontal="center" vertical="center"/>
    </xf>
    <xf numFmtId="172" fontId="21" fillId="0" borderId="279" xfId="2" applyNumberFormat="1" applyFont="1" applyBorder="1" applyAlignment="1">
      <alignment horizontal="center" vertical="center"/>
    </xf>
    <xf numFmtId="172" fontId="21" fillId="0" borderId="285" xfId="2" applyNumberFormat="1" applyFont="1" applyBorder="1" applyAlignment="1">
      <alignment horizontal="center" vertical="center"/>
    </xf>
    <xf numFmtId="172" fontId="24" fillId="0" borderId="22" xfId="2" applyNumberFormat="1" applyFont="1" applyBorder="1" applyAlignment="1">
      <alignment horizontal="center" vertical="center"/>
    </xf>
    <xf numFmtId="172" fontId="24" fillId="0" borderId="154" xfId="2" applyNumberFormat="1" applyFont="1" applyBorder="1" applyAlignment="1">
      <alignment horizontal="center" vertical="center"/>
    </xf>
    <xf numFmtId="172" fontId="58" fillId="0" borderId="22" xfId="2" applyNumberFormat="1" applyFont="1" applyBorder="1" applyAlignment="1">
      <alignment horizontal="center" vertical="center"/>
    </xf>
    <xf numFmtId="172" fontId="58" fillId="0" borderId="154" xfId="2" applyNumberFormat="1" applyFont="1" applyBorder="1" applyAlignment="1">
      <alignment horizontal="center" vertical="center"/>
    </xf>
    <xf numFmtId="1" fontId="69" fillId="23" borderId="153" xfId="2" applyNumberFormat="1" applyFont="1" applyFill="1" applyBorder="1" applyAlignment="1" applyProtection="1">
      <alignment horizontal="center" vertical="center"/>
      <protection locked="0"/>
    </xf>
    <xf numFmtId="1" fontId="69" fillId="23" borderId="22" xfId="2" applyNumberFormat="1" applyFont="1" applyFill="1" applyBorder="1" applyAlignment="1" applyProtection="1">
      <alignment horizontal="center" vertical="center"/>
      <protection locked="0"/>
    </xf>
    <xf numFmtId="1" fontId="69" fillId="23" borderId="154" xfId="2" applyNumberFormat="1" applyFont="1" applyFill="1" applyBorder="1" applyAlignment="1" applyProtection="1">
      <alignment horizontal="center" vertical="center"/>
      <protection locked="0"/>
    </xf>
    <xf numFmtId="1" fontId="24" fillId="23" borderId="190" xfId="2" applyNumberFormat="1" applyFont="1" applyFill="1" applyBorder="1" applyAlignment="1" applyProtection="1">
      <alignment horizontal="center" vertical="center"/>
      <protection locked="0"/>
    </xf>
    <xf numFmtId="0" fontId="58" fillId="0" borderId="262" xfId="2" applyFont="1" applyBorder="1" applyAlignment="1">
      <alignment horizontal="left" vertical="center"/>
    </xf>
    <xf numFmtId="0" fontId="58" fillId="0" borderId="265" xfId="2" applyFont="1" applyBorder="1" applyAlignment="1">
      <alignment horizontal="left" vertical="center"/>
    </xf>
    <xf numFmtId="172" fontId="12" fillId="23" borderId="265" xfId="2" applyNumberFormat="1" applyFont="1" applyFill="1" applyBorder="1" applyAlignment="1" applyProtection="1">
      <alignment horizontal="center" vertical="center"/>
      <protection locked="0"/>
    </xf>
    <xf numFmtId="0" fontId="12" fillId="23" borderId="266" xfId="2" applyFont="1" applyFill="1" applyBorder="1" applyAlignment="1" applyProtection="1">
      <alignment horizontal="center" vertical="center"/>
      <protection locked="0"/>
    </xf>
    <xf numFmtId="1" fontId="58" fillId="23" borderId="152" xfId="2" applyNumberFormat="1" applyFont="1" applyFill="1" applyBorder="1" applyAlignment="1" applyProtection="1">
      <alignment horizontal="center" vertical="center" wrapText="1"/>
      <protection locked="0"/>
    </xf>
    <xf numFmtId="0" fontId="58" fillId="0" borderId="284" xfId="2" applyFont="1" applyBorder="1" applyAlignment="1">
      <alignment vertical="center"/>
    </xf>
    <xf numFmtId="0" fontId="58" fillId="0" borderId="63" xfId="2" applyFont="1" applyBorder="1" applyAlignment="1">
      <alignment horizontal="center" vertical="center"/>
    </xf>
    <xf numFmtId="0" fontId="58" fillId="0" borderId="147" xfId="2" applyFont="1" applyBorder="1" applyAlignment="1">
      <alignment horizontal="center" vertical="center"/>
    </xf>
    <xf numFmtId="0" fontId="58" fillId="0" borderId="146" xfId="2" applyFont="1" applyBorder="1" applyAlignment="1">
      <alignment horizontal="center" vertical="center"/>
    </xf>
    <xf numFmtId="0" fontId="58" fillId="0" borderId="149" xfId="2" applyFont="1" applyBorder="1" applyAlignment="1">
      <alignment horizontal="center" vertical="center"/>
    </xf>
    <xf numFmtId="0" fontId="4" fillId="10" borderId="152" xfId="2" applyFill="1" applyBorder="1" applyAlignment="1">
      <alignment horizontal="center" vertical="center"/>
    </xf>
    <xf numFmtId="0" fontId="4" fillId="10" borderId="155" xfId="2" applyFill="1" applyBorder="1" applyAlignment="1">
      <alignment horizontal="center" vertical="center"/>
    </xf>
    <xf numFmtId="0" fontId="6" fillId="0" borderId="265" xfId="2" applyFont="1" applyBorder="1" applyAlignment="1">
      <alignment horizontal="left" vertical="center"/>
    </xf>
    <xf numFmtId="0" fontId="6" fillId="0" borderId="266" xfId="2" applyFont="1" applyBorder="1" applyAlignment="1">
      <alignment horizontal="left" vertical="center"/>
    </xf>
    <xf numFmtId="172" fontId="24" fillId="0" borderId="263" xfId="2" applyNumberFormat="1" applyFont="1" applyBorder="1" applyAlignment="1" applyProtection="1">
      <alignment horizontal="center" vertical="center"/>
      <protection locked="0"/>
    </xf>
    <xf numFmtId="172" fontId="24" fillId="0" borderId="264" xfId="2" applyNumberFormat="1" applyFont="1" applyBorder="1" applyAlignment="1" applyProtection="1">
      <alignment horizontal="center" vertical="center"/>
      <protection locked="0"/>
    </xf>
    <xf numFmtId="1" fontId="24" fillId="23" borderId="153" xfId="2" applyNumberFormat="1" applyFont="1" applyFill="1" applyBorder="1" applyAlignment="1" applyProtection="1">
      <alignment horizontal="center" vertical="center"/>
      <protection locked="0"/>
    </xf>
    <xf numFmtId="1" fontId="24" fillId="23" borderId="22" xfId="2" applyNumberFormat="1" applyFont="1" applyFill="1" applyBorder="1" applyAlignment="1" applyProtection="1">
      <alignment horizontal="center" vertical="center"/>
      <protection locked="0"/>
    </xf>
    <xf numFmtId="1" fontId="24" fillId="23" borderId="154" xfId="2" applyNumberFormat="1" applyFont="1" applyFill="1" applyBorder="1" applyAlignment="1" applyProtection="1">
      <alignment horizontal="center" vertical="center"/>
      <protection locked="0"/>
    </xf>
    <xf numFmtId="0" fontId="12" fillId="10" borderId="153" xfId="2" applyFont="1" applyFill="1" applyBorder="1" applyAlignment="1" applyProtection="1">
      <alignment vertical="center"/>
      <protection locked="0"/>
    </xf>
    <xf numFmtId="0" fontId="4" fillId="10" borderId="22" xfId="2" applyFill="1" applyBorder="1" applyAlignment="1" applyProtection="1">
      <alignment vertical="center"/>
      <protection locked="0"/>
    </xf>
    <xf numFmtId="0" fontId="4" fillId="10" borderId="154" xfId="2" applyFill="1" applyBorder="1" applyAlignment="1" applyProtection="1">
      <alignment vertical="center"/>
      <protection locked="0"/>
    </xf>
    <xf numFmtId="0" fontId="2" fillId="42" borderId="0" xfId="0" applyFont="1" applyFill="1" applyAlignment="1"/>
    <xf numFmtId="0" fontId="56" fillId="0" borderId="0" xfId="0" applyFont="1" applyAlignment="1"/>
  </cellXfs>
  <cellStyles count="4">
    <cellStyle name="Hyperlink" xfId="3" xr:uid="{06E069D2-BD70-4682-9733-E2F891E4F6A9}"/>
    <cellStyle name="Link" xfId="1" builtinId="8"/>
    <cellStyle name="Standard" xfId="0" builtinId="0"/>
    <cellStyle name="Standard 2" xfId="2" xr:uid="{3FF87642-9807-416C-BD8B-610BFA9C7540}"/>
  </cellStyles>
  <dxfs count="81">
    <dxf>
      <fill>
        <patternFill patternType="solid">
          <bgColor theme="0" tint="-0.24997711111789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rgb="FFBFBFBF"/>
        </patternFill>
      </fill>
    </dxf>
    <dxf>
      <font>
        <color theme="1" tint="0.499984740745262"/>
      </font>
      <fill>
        <patternFill patternType="solid">
          <bgColor theme="0" tint="-0.249977111117893"/>
        </patternFill>
      </fill>
    </dxf>
    <dxf>
      <font>
        <color theme="1"/>
      </font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ont>
        <color theme="1"/>
      </font>
      <fill>
        <patternFill patternType="solid">
          <bgColor theme="0" tint="-0.249977111117893"/>
        </patternFill>
      </fill>
    </dxf>
    <dxf>
      <font>
        <color theme="1"/>
      </font>
      <fill>
        <patternFill patternType="solid">
          <bgColor theme="0" tint="-0.249977111117893"/>
        </patternFill>
      </fill>
    </dxf>
    <dxf>
      <font>
        <color theme="1"/>
      </font>
      <fill>
        <patternFill patternType="solid">
          <bgColor theme="0" tint="-0.249977111117893"/>
        </patternFill>
      </fill>
    </dxf>
    <dxf>
      <font>
        <color theme="1"/>
      </font>
      <fill>
        <patternFill patternType="solid">
          <bgColor theme="0" tint="-0.249977111117893"/>
        </patternFill>
      </fill>
    </dxf>
    <dxf>
      <font>
        <color theme="1"/>
      </font>
      <fill>
        <patternFill patternType="solid">
          <bgColor theme="0" tint="-0.249977111117893"/>
        </patternFill>
      </fill>
    </dxf>
    <dxf>
      <font>
        <color theme="1"/>
      </font>
      <fill>
        <patternFill patternType="solid">
          <bgColor theme="0" tint="-0.249977111117893"/>
        </patternFill>
      </fill>
    </dxf>
    <dxf>
      <font>
        <color rgb="FFBFBFBF"/>
      </font>
      <fill>
        <patternFill patternType="solid">
          <fgColor rgb="FFD8D8D8"/>
          <bgColor rgb="FFD8D8D8"/>
        </patternFill>
      </fill>
    </dxf>
    <dxf>
      <font>
        <color rgb="FFBFBFBF"/>
      </font>
      <fill>
        <patternFill patternType="solid">
          <fgColor rgb="FFD8D8D8"/>
          <bgColor rgb="FFD8D8D8"/>
        </patternFill>
      </fill>
    </dxf>
    <dxf>
      <font>
        <color rgb="FFBFBFBF"/>
      </font>
      <fill>
        <patternFill patternType="solid">
          <fgColor rgb="FFD8D8D8"/>
          <bgColor rgb="FFD8D8D8"/>
        </patternFill>
      </fill>
    </dxf>
    <dxf>
      <font>
        <color rgb="FFBFBFBF"/>
      </font>
      <fill>
        <patternFill patternType="solid">
          <fgColor rgb="FFD8D8D8"/>
          <bgColor rgb="FFD8D8D8"/>
        </patternFill>
      </fill>
    </dxf>
    <dxf>
      <font>
        <color rgb="FFBFBFBF"/>
      </font>
      <fill>
        <patternFill patternType="solid">
          <fgColor rgb="FFD8D8D8"/>
          <bgColor rgb="FFD8D8D8"/>
        </patternFill>
      </fill>
    </dxf>
    <dxf>
      <font>
        <color rgb="FFBFBFBF"/>
      </font>
      <fill>
        <patternFill patternType="solid">
          <fgColor rgb="FFD8D8D8"/>
          <bgColor rgb="FFD8D8D8"/>
        </patternFill>
      </fill>
    </dxf>
    <dxf>
      <font>
        <color rgb="FFBFBFBF"/>
      </font>
      <fill>
        <patternFill patternType="solid">
          <fgColor rgb="FFD8D8D8"/>
          <bgColor rgb="FFD8D8D8"/>
        </patternFill>
      </fill>
    </dxf>
    <dxf>
      <font>
        <color rgb="FFBFBFBF"/>
      </font>
      <fill>
        <patternFill patternType="solid">
          <fgColor rgb="FFD8D8D8"/>
          <bgColor rgb="FFD8D8D8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E69999"/>
          <bgColor rgb="FFE69999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00FF00"/>
          <bgColor theme="9" tint="0.5999633777886288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rgb="FF00FF00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FF0000"/>
      </font>
      <numFmt numFmtId="1" formatCode="0"/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69999"/>
          <bgColor rgb="FFE69999"/>
        </patternFill>
      </fill>
    </dxf>
    <dxf>
      <fill>
        <patternFill patternType="solid">
          <fgColor rgb="FFFADCB3"/>
          <bgColor rgb="FFFADCB3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ont>
        <color rgb="FFFF0000"/>
      </font>
      <numFmt numFmtId="1" formatCode="0"/>
    </dxf>
    <dxf>
      <font>
        <color rgb="FFFF0000"/>
      </font>
      <numFmt numFmtId="1" formatCode="0"/>
    </dxf>
  </dxfs>
  <tableStyles count="0" defaultTableStyle="TableStyleMedium2" defaultPivotStyle="PivotStyleLight16"/>
  <colors>
    <mruColors>
      <color rgb="FF0000FF"/>
      <color rgb="FF00FF00"/>
      <color rgb="FFFFFF99"/>
      <color rgb="FFFFFFCC"/>
      <color rgb="FFDDDDDD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66676</xdr:colOff>
      <xdr:row>3</xdr:row>
      <xdr:rowOff>9526</xdr:rowOff>
    </xdr:from>
    <xdr:to>
      <xdr:col>25</xdr:col>
      <xdr:colOff>38100</xdr:colOff>
      <xdr:row>5</xdr:row>
      <xdr:rowOff>76200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C422DEE-4A3D-432A-B941-D50E30F55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1" y="866776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47</xdr:col>
      <xdr:colOff>295276</xdr:colOff>
      <xdr:row>3</xdr:row>
      <xdr:rowOff>1</xdr:rowOff>
    </xdr:from>
    <xdr:to>
      <xdr:col>49</xdr:col>
      <xdr:colOff>47625</xdr:colOff>
      <xdr:row>5</xdr:row>
      <xdr:rowOff>66675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A3E3D59-F8AE-44F6-A8DB-94E9BAD4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201" y="857251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2</xdr:col>
      <xdr:colOff>1108895</xdr:colOff>
      <xdr:row>0</xdr:row>
      <xdr:rowOff>25090</xdr:rowOff>
    </xdr:from>
    <xdr:to>
      <xdr:col>3</xdr:col>
      <xdr:colOff>476250</xdr:colOff>
      <xdr:row>2</xdr:row>
      <xdr:rowOff>67391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D063E6C-8EAE-25F7-CB8E-C81E9E36A8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alphaModFix amt="6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36" t="20433" r="5234" b="11730"/>
        <a:stretch/>
      </xdr:blipFill>
      <xdr:spPr>
        <a:xfrm>
          <a:off x="2235508" y="25090"/>
          <a:ext cx="493968" cy="615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9</xdr:row>
      <xdr:rowOff>142875</xdr:rowOff>
    </xdr:from>
    <xdr:to>
      <xdr:col>5</xdr:col>
      <xdr:colOff>648653</xdr:colOff>
      <xdr:row>13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90107CC-1C0F-417F-AB22-D75E5DB32F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99" t="17147" r="13598" b="4761"/>
        <a:stretch/>
      </xdr:blipFill>
      <xdr:spPr>
        <a:xfrm>
          <a:off x="5248275" y="1600200"/>
          <a:ext cx="534353" cy="62865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9</xdr:row>
      <xdr:rowOff>142875</xdr:rowOff>
    </xdr:from>
    <xdr:to>
      <xdr:col>14</xdr:col>
      <xdr:colOff>629603</xdr:colOff>
      <xdr:row>13</xdr:row>
      <xdr:rowOff>114300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EB08B57-F12B-44CC-AA2D-3F8150C70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99" t="17147" r="13598" b="4761"/>
        <a:stretch/>
      </xdr:blipFill>
      <xdr:spPr>
        <a:xfrm>
          <a:off x="11487150" y="1600200"/>
          <a:ext cx="534353" cy="628650"/>
        </a:xfrm>
        <a:prstGeom prst="rect">
          <a:avLst/>
        </a:prstGeom>
      </xdr:spPr>
    </xdr:pic>
    <xdr:clientData/>
  </xdr:twoCellAnchor>
  <xdr:oneCellAnchor>
    <xdr:from>
      <xdr:col>16</xdr:col>
      <xdr:colOff>9525</xdr:colOff>
      <xdr:row>9</xdr:row>
      <xdr:rowOff>152400</xdr:rowOff>
    </xdr:from>
    <xdr:ext cx="534353" cy="628650"/>
    <xdr:pic>
      <xdr:nvPicPr>
        <xdr:cNvPr id="4" name="Grafik 3">
          <a:extLst>
            <a:ext uri="{FF2B5EF4-FFF2-40B4-BE49-F238E27FC236}">
              <a16:creationId xmlns:a16="http://schemas.microsoft.com/office/drawing/2014/main" id="{251D3C3C-F169-41BC-AB6C-A6816961B2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99" t="17147" r="13598" b="4761"/>
        <a:stretch/>
      </xdr:blipFill>
      <xdr:spPr>
        <a:xfrm>
          <a:off x="12706350" y="1609725"/>
          <a:ext cx="534353" cy="628650"/>
        </a:xfrm>
        <a:prstGeom prst="rect">
          <a:avLst/>
        </a:prstGeom>
      </xdr:spPr>
    </xdr:pic>
    <xdr:clientData/>
  </xdr:oneCellAnchor>
  <xdr:oneCellAnchor>
    <xdr:from>
      <xdr:col>20</xdr:col>
      <xdr:colOff>0</xdr:colOff>
      <xdr:row>9</xdr:row>
      <xdr:rowOff>142875</xdr:rowOff>
    </xdr:from>
    <xdr:ext cx="534353" cy="628650"/>
    <xdr:pic>
      <xdr:nvPicPr>
        <xdr:cNvPr id="5" name="Grafik 4">
          <a:extLst>
            <a:ext uri="{FF2B5EF4-FFF2-40B4-BE49-F238E27FC236}">
              <a16:creationId xmlns:a16="http://schemas.microsoft.com/office/drawing/2014/main" id="{AB3BB874-A935-44CF-9845-F1C39331A3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99" t="17147" r="13598" b="4761"/>
        <a:stretch/>
      </xdr:blipFill>
      <xdr:spPr>
        <a:xfrm>
          <a:off x="13925550" y="1600200"/>
          <a:ext cx="534353" cy="62865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9</xdr:row>
      <xdr:rowOff>152400</xdr:rowOff>
    </xdr:from>
    <xdr:ext cx="534353" cy="628650"/>
    <xdr:pic>
      <xdr:nvPicPr>
        <xdr:cNvPr id="6" name="Grafik 5">
          <a:extLst>
            <a:ext uri="{FF2B5EF4-FFF2-40B4-BE49-F238E27FC236}">
              <a16:creationId xmlns:a16="http://schemas.microsoft.com/office/drawing/2014/main" id="{4BF23C9B-0785-4667-A23B-3992781457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99" t="17147" r="13598" b="4761"/>
        <a:stretch/>
      </xdr:blipFill>
      <xdr:spPr>
        <a:xfrm>
          <a:off x="12706350" y="1609725"/>
          <a:ext cx="534353" cy="628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0</xdr:row>
      <xdr:rowOff>123825</xdr:rowOff>
    </xdr:from>
    <xdr:to>
      <xdr:col>6</xdr:col>
      <xdr:colOff>692986</xdr:colOff>
      <xdr:row>2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6C8FC9-07AB-402C-A10A-E4E5647B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123825"/>
          <a:ext cx="1369261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200025</xdr:rowOff>
    </xdr:from>
    <xdr:to>
      <xdr:col>6</xdr:col>
      <xdr:colOff>397711</xdr:colOff>
      <xdr:row>2</xdr:row>
      <xdr:rowOff>314325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CEBEBF7-AEFB-4825-8BDE-E9D5EC30A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200025"/>
          <a:ext cx="1369261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66675</xdr:rowOff>
    </xdr:from>
    <xdr:to>
      <xdr:col>6</xdr:col>
      <xdr:colOff>359611</xdr:colOff>
      <xdr:row>2</xdr:row>
      <xdr:rowOff>19050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55799A-003C-4261-A866-04C540C8F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66675"/>
          <a:ext cx="1369261" cy="647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369136</xdr:colOff>
      <xdr:row>2</xdr:row>
      <xdr:rowOff>19050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160B63B-A527-4DE3-820B-E905038C5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66675"/>
          <a:ext cx="1369261" cy="647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85725</xdr:rowOff>
    </xdr:from>
    <xdr:to>
      <xdr:col>6</xdr:col>
      <xdr:colOff>588211</xdr:colOff>
      <xdr:row>2</xdr:row>
      <xdr:rowOff>200025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D26580-AB29-4946-9AF7-367B02D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85725"/>
          <a:ext cx="1369261" cy="647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66675</xdr:rowOff>
    </xdr:from>
    <xdr:to>
      <xdr:col>6</xdr:col>
      <xdr:colOff>569161</xdr:colOff>
      <xdr:row>2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9F97DF-940C-4BA7-946D-8FC2B843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66675"/>
          <a:ext cx="1369261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avbgs.sharepoint.com/sites/S-348-P-Emissionsbilanzierung/Freigegebene%20Dokumente/General/5.%20Emissionen/1.%20Formulare/DAV_Veranstaltungsrechner_BJ2024_26.02.24.xlsx" TargetMode="External"/><Relationship Id="rId1" Type="http://schemas.openxmlformats.org/officeDocument/2006/relationships/externalLinkPath" Target="/sites/S-348-P-Emissionsbilanzierung/Freigegebene%20Dokumente/General/5.%20Emissionen/1.%20Formulare/DAV_Veranstaltungsrechner_BJ2024_26.02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owcCHWRskSYvvwkko4J0NyKg9zmy9tLiYx-0pvpGBpM2k93qVEuR5Jewnc_Kk_h" itemId="01NIZUZPDM35MD5ENQMBHKY4DJCB2SGLIT">
      <xxl21:absoluteUrl r:id="rId2"/>
    </xxl21:alternateUrls>
    <sheetNames>
      <sheetName val="Start"/>
      <sheetName val="Eingabemaske"/>
      <sheetName val="Auswahlfelder"/>
      <sheetName val="CodeGaia"/>
    </sheetNames>
    <sheetDataSet>
      <sheetData sheetId="0">
        <row r="3">
          <cell r="C3" t="str">
            <v>Deutscher Alpenverein</v>
          </cell>
        </row>
        <row r="14">
          <cell r="D14" t="str">
            <v>DE</v>
          </cell>
        </row>
      </sheetData>
      <sheetData sheetId="1">
        <row r="17">
          <cell r="I17"/>
        </row>
      </sheetData>
      <sheetData sheetId="2">
        <row r="2">
          <cell r="Q2" t="str">
            <v>Deutschland</v>
          </cell>
          <cell r="R2">
            <v>6</v>
          </cell>
          <cell r="S2">
            <v>1</v>
          </cell>
        </row>
        <row r="3">
          <cell r="Q3" t="str">
            <v>Österreich</v>
          </cell>
          <cell r="R3">
            <v>15</v>
          </cell>
          <cell r="S3">
            <v>1</v>
          </cell>
        </row>
        <row r="4">
          <cell r="Q4" t="str">
            <v>Schweiz</v>
          </cell>
          <cell r="R4">
            <v>237</v>
          </cell>
          <cell r="S4">
            <v>1</v>
          </cell>
        </row>
        <row r="5">
          <cell r="Q5" t="str">
            <v>Italien</v>
          </cell>
          <cell r="R5">
            <v>72</v>
          </cell>
          <cell r="S5">
            <v>1</v>
          </cell>
        </row>
        <row r="6">
          <cell r="Q6" t="str">
            <v>Frankreich</v>
          </cell>
          <cell r="R6">
            <v>8</v>
          </cell>
          <cell r="S6">
            <v>1</v>
          </cell>
        </row>
        <row r="7">
          <cell r="Q7" t="str">
            <v>Slowenien</v>
          </cell>
          <cell r="R7">
            <v>567</v>
          </cell>
          <cell r="S7">
            <v>0</v>
          </cell>
        </row>
        <row r="8">
          <cell r="Q8" t="str">
            <v>Spanien</v>
          </cell>
          <cell r="R8">
            <v>76</v>
          </cell>
          <cell r="S8">
            <v>0</v>
          </cell>
        </row>
        <row r="9">
          <cell r="Q9" t="str">
            <v>Norwegen</v>
          </cell>
          <cell r="R9">
            <v>204</v>
          </cell>
          <cell r="S9">
            <v>0</v>
          </cell>
        </row>
        <row r="10">
          <cell r="Q10" t="str">
            <v>Schweden</v>
          </cell>
          <cell r="R10">
            <v>535</v>
          </cell>
          <cell r="S10">
            <v>0</v>
          </cell>
        </row>
        <row r="11">
          <cell r="Q11" t="str">
            <v>Dänemark</v>
          </cell>
          <cell r="R11">
            <v>107</v>
          </cell>
          <cell r="S11">
            <v>0</v>
          </cell>
        </row>
        <row r="12">
          <cell r="Q12" t="str">
            <v>Großbritannien</v>
          </cell>
          <cell r="R12">
            <v>7</v>
          </cell>
          <cell r="S12">
            <v>0</v>
          </cell>
        </row>
        <row r="13">
          <cell r="Q13" t="str">
            <v>Polen</v>
          </cell>
          <cell r="R13">
            <v>106</v>
          </cell>
          <cell r="S13">
            <v>0</v>
          </cell>
        </row>
        <row r="14">
          <cell r="Q14" t="str">
            <v>Belgien</v>
          </cell>
          <cell r="R14">
            <v>214</v>
          </cell>
          <cell r="S14">
            <v>0</v>
          </cell>
        </row>
        <row r="15">
          <cell r="Q15" t="str">
            <v>China</v>
          </cell>
          <cell r="R15">
            <v>72</v>
          </cell>
          <cell r="S15">
            <v>0</v>
          </cell>
        </row>
        <row r="16">
          <cell r="Q16" t="str">
            <v>Finnland</v>
          </cell>
          <cell r="R16">
            <v>102</v>
          </cell>
          <cell r="S16">
            <v>0</v>
          </cell>
        </row>
        <row r="17">
          <cell r="Q17" t="str">
            <v>Griechenland</v>
          </cell>
          <cell r="R17">
            <v>211</v>
          </cell>
          <cell r="S17">
            <v>0</v>
          </cell>
        </row>
        <row r="18">
          <cell r="Q18" t="str">
            <v>Kroatien</v>
          </cell>
          <cell r="R18">
            <v>73</v>
          </cell>
          <cell r="S18">
            <v>0</v>
          </cell>
        </row>
        <row r="19">
          <cell r="Q19" t="str">
            <v>Niederlande</v>
          </cell>
          <cell r="R19">
            <v>204</v>
          </cell>
          <cell r="S19">
            <v>0</v>
          </cell>
        </row>
        <row r="20">
          <cell r="Q20" t="str">
            <v>Peru</v>
          </cell>
          <cell r="R20">
            <v>210</v>
          </cell>
          <cell r="S20">
            <v>0</v>
          </cell>
        </row>
        <row r="21">
          <cell r="Q21" t="str">
            <v>Portugal</v>
          </cell>
          <cell r="R21">
            <v>235</v>
          </cell>
          <cell r="S21">
            <v>0</v>
          </cell>
        </row>
        <row r="22">
          <cell r="Q22" t="str">
            <v>Tschechische Republik</v>
          </cell>
          <cell r="R22">
            <v>203</v>
          </cell>
          <cell r="S22">
            <v>0</v>
          </cell>
        </row>
        <row r="23">
          <cell r="Q23" t="str">
            <v>Türkei</v>
          </cell>
          <cell r="R23">
            <v>206</v>
          </cell>
          <cell r="S23">
            <v>0</v>
          </cell>
        </row>
        <row r="24">
          <cell r="Q24" t="str">
            <v>USA</v>
          </cell>
          <cell r="R24">
            <v>39</v>
          </cell>
          <cell r="S24">
            <v>0</v>
          </cell>
        </row>
        <row r="25">
          <cell r="Q25" t="str">
            <v>Europa (Rest)</v>
          </cell>
          <cell r="R25">
            <v>3</v>
          </cell>
          <cell r="S25">
            <v>0</v>
          </cell>
        </row>
        <row r="26">
          <cell r="Q26" t="str">
            <v>Asien (Rest)</v>
          </cell>
          <cell r="R26">
            <v>2</v>
          </cell>
          <cell r="S26">
            <v>0</v>
          </cell>
        </row>
        <row r="27">
          <cell r="Q27" t="str">
            <v>Süd-/Zentralamerika (Rest)</v>
          </cell>
          <cell r="R27">
            <v>234</v>
          </cell>
          <cell r="S27">
            <v>0</v>
          </cell>
        </row>
        <row r="28">
          <cell r="Q28" t="str">
            <v>Naher Osten/Arabischer Golf (Rest)</v>
          </cell>
          <cell r="R28">
            <v>275</v>
          </cell>
          <cell r="S28">
            <v>0</v>
          </cell>
        </row>
        <row r="29">
          <cell r="Q29" t="str">
            <v>Afrika (Rest)</v>
          </cell>
          <cell r="R29">
            <v>274</v>
          </cell>
          <cell r="S29">
            <v>0</v>
          </cell>
        </row>
        <row r="30">
          <cell r="Q30" t="str">
            <v>Sonstiges</v>
          </cell>
          <cell r="R30">
            <v>213</v>
          </cell>
          <cell r="S30">
            <v>0</v>
          </cell>
        </row>
        <row r="32">
          <cell r="Q32"/>
        </row>
        <row r="33">
          <cell r="Q33"/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itteldrittel@dav-altdorf.de" TargetMode="External"/><Relationship Id="rId13" Type="http://schemas.openxmlformats.org/officeDocument/2006/relationships/hyperlink" Target="mailto:info@dav-altdorf.de" TargetMode="External"/><Relationship Id="rId18" Type="http://schemas.openxmlformats.org/officeDocument/2006/relationships/comments" Target="../comments2.xml"/><Relationship Id="rId3" Type="http://schemas.openxmlformats.org/officeDocument/2006/relationships/hyperlink" Target="mailto:bergrad@dav-altdorf.de" TargetMode="External"/><Relationship Id="rId7" Type="http://schemas.openxmlformats.org/officeDocument/2006/relationships/hyperlink" Target="mailto:jungmannschaft@dav-altdorf.de" TargetMode="External"/><Relationship Id="rId12" Type="http://schemas.openxmlformats.org/officeDocument/2006/relationships/hyperlink" Target="mailto:skiabteilung@dav-altdorf.de" TargetMode="External"/><Relationship Id="rId17" Type="http://schemas.openxmlformats.org/officeDocument/2006/relationships/vmlDrawing" Target="../drawings/vmlDrawing2.vml"/><Relationship Id="rId2" Type="http://schemas.openxmlformats.org/officeDocument/2006/relationships/hyperlink" Target="mailto:skibergsteiger@dav-altdorf.de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mailto:bergsteiger@dav-altdorf.de" TargetMode="External"/><Relationship Id="rId6" Type="http://schemas.openxmlformats.org/officeDocument/2006/relationships/hyperlink" Target="mailto:jugend@dav-altdorf.de" TargetMode="External"/><Relationship Id="rId11" Type="http://schemas.openxmlformats.org/officeDocument/2006/relationships/hyperlink" Target="mailto:senioren-leicht@dav-altdorf.de" TargetMode="External"/><Relationship Id="rId5" Type="http://schemas.openxmlformats.org/officeDocument/2006/relationships/hyperlink" Target="mailto:%20jugend1@dav-altdorf.de" TargetMode="External"/><Relationship Id="rId15" Type="http://schemas.openxmlformats.org/officeDocument/2006/relationships/hyperlink" Target="mailto:schatzmeister@dav-altdorf.de" TargetMode="External"/><Relationship Id="rId10" Type="http://schemas.openxmlformats.org/officeDocument/2006/relationships/hyperlink" Target="mailto:senioren@dav-altdorf.de" TargetMode="External"/><Relationship Id="rId4" Type="http://schemas.openxmlformats.org/officeDocument/2006/relationships/hyperlink" Target="mailto:familien@dav-altdorf.de" TargetMode="External"/><Relationship Id="rId9" Type="http://schemas.openxmlformats.org/officeDocument/2006/relationships/hyperlink" Target="mailto:sportklettern@dav-altdorf.de" TargetMode="External"/><Relationship Id="rId14" Type="http://schemas.openxmlformats.org/officeDocument/2006/relationships/hyperlink" Target="mailto:naturschutz@dav-altdorf.d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../:u:/r/sites/S-348-O-Skitour/Freigegebene%20Dokumente/General/DAV%20SkiBergsteiger%20Orga/Abrechnungsformular%20PKWund%C3%96ffi-Fahrten_Muster_mitF%C3%9CL%20(S-348-O-Sektionsteam).url?csf=1&amp;web=1&amp;e=IKhAQW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../:u:/r/sites/S-348-O-Skitour/Freigegebene%20Dokumente/General/DAV%20SkiBergsteiger%20Orga/Abrechnungsformular%20PKWund%C3%96ffi-Fahrten_Muster_mitF%C3%9CL%20(S-348-O-Sektionsteam).url?csf=1&amp;web=1&amp;e=IKhAQW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../:u:/r/sites/S-348-O-Skitour/Freigegebene%20Dokumente/General/DAV%20SkiBergsteiger%20Orga/Abrechnungsformular%20PKWund%C3%96ffi-Fahrten_Muster_mitF%C3%9CL%20(S-348-O-Sektionsteam).url?csf=1&amp;web=1&amp;e=IKhAQW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../../../../../:u:/r/sites/S-348-O-Skitour/Freigegebene%20Dokumente/General/DAV%20SkiBergsteiger%20Orga/Abrechnungsformular%20PKWund%C3%96ffi-Fahrten_Muster_mitF%C3%9CL%20(S-348-O-Sektionsteam).url?csf=1&amp;web=1&amp;e=IKhAQW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../../../:u:/r/sites/S-348-O-Skitour/Freigegebene%20Dokumente/General/DAV%20SkiBergsteiger%20Orga/Abrechnungsformular%20PKWund%C3%96ffi-Fahrten_Muster_mitF%C3%9CL%20(S-348-O-Sektionsteam).url?csf=1&amp;web=1&amp;e=IKhAQW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Abrechnungsformular%20PKWund&#214;ffi-Fahrten_Muster_mitF&#220;L%20(S-348-O-Sektionsteam).url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70C0"/>
    <outlinePr summaryRight="0"/>
  </sheetPr>
  <dimension ref="A1:BF33"/>
  <sheetViews>
    <sheetView tabSelected="1" zoomScale="93" zoomScaleNormal="100" workbookViewId="0">
      <pane xSplit="4" ySplit="8" topLeftCell="E9" activePane="bottomRight" state="frozen"/>
      <selection pane="bottomRight" activeCell="F1" sqref="F1:G7"/>
      <selection pane="bottomLeft" activeCell="A7" sqref="A7"/>
      <selection pane="topRight" activeCell="E1" sqref="E1"/>
    </sheetView>
  </sheetViews>
  <sheetFormatPr defaultColWidth="14.42578125" defaultRowHeight="12.75" customHeight="1"/>
  <cols>
    <col min="1" max="1" width="2.5703125" customWidth="1"/>
    <col min="2" max="2" width="14.28515625" customWidth="1"/>
    <col min="3" max="3" width="16.85546875" customWidth="1"/>
    <col min="4" max="4" width="14.28515625" customWidth="1"/>
    <col min="5" max="5" width="5.5703125" customWidth="1"/>
    <col min="6" max="6" width="17" bestFit="1" customWidth="1"/>
    <col min="7" max="7" width="21" customWidth="1"/>
    <col min="8" max="8" width="5.85546875" style="128" customWidth="1"/>
    <col min="9" max="9" width="5.140625" customWidth="1"/>
    <col min="10" max="10" width="8" customWidth="1"/>
    <col min="11" max="11" width="5" style="11" customWidth="1"/>
    <col min="12" max="12" width="5" customWidth="1"/>
    <col min="13" max="13" width="2.85546875" customWidth="1"/>
    <col min="14" max="14" width="3" style="11" customWidth="1"/>
    <col min="15" max="16" width="1.140625" customWidth="1"/>
    <col min="17" max="17" width="1.140625" style="11" customWidth="1"/>
    <col min="18" max="19" width="1.140625" customWidth="1"/>
    <col min="20" max="20" width="1" style="11" customWidth="1"/>
    <col min="21" max="21" width="1" customWidth="1"/>
    <col min="22" max="22" width="4.42578125" customWidth="1"/>
    <col min="23" max="23" width="9.42578125" style="8" customWidth="1"/>
    <col min="24" max="24" width="11.5703125" style="7" customWidth="1"/>
    <col min="25" max="25" width="10" style="130" customWidth="1"/>
    <col min="26" max="26" width="11.85546875" style="144" customWidth="1"/>
    <col min="27" max="27" width="3.28515625" style="4" bestFit="1" customWidth="1"/>
    <col min="28" max="28" width="3.28515625" style="5" customWidth="1"/>
    <col min="29" max="29" width="3.28515625" style="10" customWidth="1"/>
    <col min="30" max="30" width="3.28515625" style="9" customWidth="1"/>
    <col min="31" max="31" width="3.28515625" style="4" customWidth="1"/>
    <col min="32" max="32" width="3.28515625" style="10" customWidth="1"/>
    <col min="33" max="33" width="3.28515625" style="9" customWidth="1"/>
    <col min="34" max="34" width="3.28515625" customWidth="1"/>
    <col min="35" max="35" width="3.28515625" style="5" customWidth="1"/>
    <col min="36" max="36" width="3.28515625" style="10" customWidth="1"/>
    <col min="37" max="37" width="5.7109375" style="2" customWidth="1"/>
    <col min="38" max="38" width="4.42578125" style="4" customWidth="1"/>
    <col min="39" max="39" width="3" style="5" customWidth="1"/>
    <col min="40" max="40" width="3" style="9" customWidth="1"/>
    <col min="41" max="41" width="3" style="4" customWidth="1"/>
    <col min="42" max="42" width="1.7109375" style="5" customWidth="1"/>
    <col min="43" max="43" width="1" style="9" customWidth="1"/>
    <col min="44" max="44" width="1" style="4" customWidth="1"/>
    <col min="45" max="45" width="1" style="5" customWidth="1"/>
    <col min="46" max="46" width="1" style="9" customWidth="1"/>
    <col min="47" max="47" width="1" style="4" customWidth="1"/>
    <col min="48" max="48" width="5.5703125" style="5" customWidth="1"/>
    <col min="49" max="49" width="7.7109375" style="6" customWidth="1"/>
    <col min="50" max="50" width="3.140625" style="140" customWidth="1"/>
    <col min="51" max="51" width="3.140625" style="8" customWidth="1"/>
    <col min="52" max="52" width="3.140625" style="12" customWidth="1"/>
    <col min="53" max="53" width="3.140625" style="13" customWidth="1"/>
    <col min="54" max="56" width="3.140625" style="8" customWidth="1"/>
    <col min="57" max="57" width="17.5703125" style="3" customWidth="1"/>
  </cols>
  <sheetData>
    <row r="1" spans="1:58" s="195" customFormat="1" ht="22.5" customHeight="1" thickTop="1">
      <c r="A1" s="1085" t="s">
        <v>0</v>
      </c>
      <c r="B1" s="1086"/>
      <c r="C1" s="197" t="s">
        <v>1</v>
      </c>
      <c r="D1" s="514">
        <f>((A8-SUM(H$9:H29)) *V4 +IF(I31&lt;=0,0,I4*I31)+IF(J31&lt;=0,0,J4)+IF(K31&lt;=0,0,K4)+IF(L31&lt;=0,0,L4)+IF(M31&lt;=0,0,M4)+IF(N31&lt;=0,0,N4)+IF(O31&lt;=0,0,O4)+IF(P31&lt;=0,0,P4)+IF(Q31&lt;=0,0,Q4)+IF(R31&lt;=0,0,R4)+IF(S31&lt;=0,0,S4)+IF(T31&lt;=0,0,T4)+IF(U31&lt;=0,0,U4)+IF(V31&lt;=0,0,V4)+IF(W31&lt;=0,0,W4))*2.62*D5/100 + AW2 +D7*HilfeListe!Q16</f>
        <v>202.40100000000001</v>
      </c>
      <c r="E1" s="194" t="s">
        <v>2</v>
      </c>
      <c r="F1" s="1095" t="s">
        <v>3</v>
      </c>
      <c r="G1" s="1095"/>
      <c r="H1" s="1087" t="s">
        <v>4</v>
      </c>
      <c r="I1" s="1088"/>
      <c r="J1" s="1088"/>
      <c r="K1" s="1088"/>
      <c r="L1" s="1088"/>
      <c r="M1" s="1088"/>
      <c r="N1" s="1088"/>
      <c r="O1" s="1088"/>
      <c r="P1" s="1088"/>
      <c r="Q1" s="1088"/>
      <c r="R1" s="1088"/>
      <c r="S1" s="1088"/>
      <c r="T1" s="1088"/>
      <c r="U1" s="1088"/>
      <c r="V1" s="1088"/>
      <c r="W1" s="1088"/>
      <c r="X1" s="1088"/>
      <c r="Y1" s="1089"/>
      <c r="Z1" s="1083" t="s">
        <v>5</v>
      </c>
      <c r="AA1" s="1084"/>
      <c r="AB1" s="1084"/>
      <c r="AC1" s="1084"/>
      <c r="AD1" s="1084"/>
      <c r="AE1" s="1084"/>
      <c r="AF1" s="1084"/>
      <c r="AG1" s="1084"/>
      <c r="AH1" s="1084"/>
      <c r="AI1" s="1084"/>
      <c r="AJ1" s="1084"/>
      <c r="AK1" s="1099" t="s">
        <v>6</v>
      </c>
      <c r="AL1" s="1100"/>
      <c r="AM1" s="1100"/>
      <c r="AN1" s="1100"/>
      <c r="AO1" s="1100"/>
      <c r="AP1" s="1100"/>
      <c r="AQ1" s="1100"/>
      <c r="AR1" s="1100"/>
      <c r="AS1" s="1100"/>
      <c r="AT1" s="1100"/>
      <c r="AU1" s="1100"/>
      <c r="AV1" s="1100"/>
      <c r="AW1" s="1100"/>
      <c r="AX1" s="1109" t="s">
        <v>7</v>
      </c>
      <c r="AY1" s="1110"/>
      <c r="AZ1" s="1110"/>
      <c r="BA1" s="1110"/>
      <c r="BB1" s="1110"/>
      <c r="BC1" s="1110"/>
      <c r="BD1" s="1110"/>
      <c r="BE1" s="1111"/>
    </row>
    <row r="2" spans="1:58" ht="22.5" customHeight="1">
      <c r="A2" s="1081" t="s">
        <v>8</v>
      </c>
      <c r="B2" s="1082"/>
      <c r="C2" s="201" t="s">
        <v>9</v>
      </c>
      <c r="D2" s="515">
        <f>D1/D4/(IF(A8=0,1,A8))</f>
        <v>33.733499999999999</v>
      </c>
      <c r="E2" s="173" t="s">
        <v>10</v>
      </c>
      <c r="F2" s="1096"/>
      <c r="G2" s="1097"/>
      <c r="H2" s="122" t="s">
        <v>11</v>
      </c>
      <c r="I2" s="105"/>
      <c r="J2" s="53" t="s">
        <v>12</v>
      </c>
      <c r="K2" s="68" t="s">
        <v>12</v>
      </c>
      <c r="L2" s="64" t="s">
        <v>12</v>
      </c>
      <c r="M2" s="53"/>
      <c r="N2" s="68"/>
      <c r="O2" s="64"/>
      <c r="P2" s="73"/>
      <c r="Q2" s="74"/>
      <c r="R2" s="64"/>
      <c r="S2" s="53"/>
      <c r="T2" s="68"/>
      <c r="U2" s="64"/>
      <c r="V2" s="105"/>
      <c r="W2" s="107"/>
      <c r="X2" s="434" t="s">
        <v>13</v>
      </c>
      <c r="Y2" s="435">
        <f>((A8-SUM(H$9:H29))*V4+IF(I31&lt;=0,0,I4*I31)+IF(J31&lt;=0,0,J4)+IF(K31&lt;=0,0,K4)+IF(L31&lt;=0,0,L4)+IF(M31&lt;=0,0,M4)+IF(N31&lt;=0,0,N4)+IF(O31&lt;=0,0,O4)+IF(P31&lt;=0,0,P4)+IF(Q31&lt;=0,0,Q4)+IF(R31&lt;=0,0,R4)+IF(S31&lt;=0,0,S4)+IF(T31&lt;=0,0,T4)+IF(U31&lt;=0,0,U4)+IF(V31&lt;=0,0,V4)+IF(W31&lt;=0,0,W4))*2.62*D5/100+D7*HilfeListe!Q16</f>
        <v>125.76</v>
      </c>
      <c r="Z2" s="141" t="s">
        <v>14</v>
      </c>
      <c r="AA2" s="87"/>
      <c r="AB2" s="1073" t="s">
        <v>15</v>
      </c>
      <c r="AC2" s="1074"/>
      <c r="AD2" s="1075"/>
      <c r="AE2" s="1073"/>
      <c r="AF2" s="1074"/>
      <c r="AG2" s="1075"/>
      <c r="AH2" s="1073"/>
      <c r="AI2" s="1074"/>
      <c r="AJ2" s="131"/>
      <c r="AK2" s="119" t="s">
        <v>14</v>
      </c>
      <c r="AL2" s="1101" t="s">
        <v>16</v>
      </c>
      <c r="AM2" s="1102"/>
      <c r="AN2" s="1102"/>
      <c r="AO2" s="1102"/>
      <c r="AP2" s="1102"/>
      <c r="AQ2" s="1102"/>
      <c r="AR2" s="1102"/>
      <c r="AS2" s="1102"/>
      <c r="AT2" s="1102"/>
      <c r="AU2" s="1103"/>
      <c r="AV2" s="440" t="s">
        <v>13</v>
      </c>
      <c r="AW2" s="441">
        <f>D4*(COUNTIF(AnmeldeListe!$AV$9:$AV$29,AnmeldeListe!AV5)*VLOOKUP(AV5,Essen,2,0)+COUNTIF(AnmeldeListe!$AV$9:$AV$29,AnmeldeListe!AV6)*VLOOKUP(AV6,Essen,2,0)+(COUNTIF(AnmeldeListe!$AV$9:$AV$29,AnmeldeListe!AV7)+COUNTIFS(AnmeldeListe!$AV$9:$AV$29,"",AK9:AK29,"&gt;0"))*VLOOKUP(AV7,Essen,2,0))+
D3*(VLOOKUP(AB3,HilfeListe!L15:O36,4,0) + VLOOKUP(AC3,HilfeListe!L15:O36,4,0) + VLOOKUP(AD3,HilfeListe!L15:O36,4,0) + VLOOKUP(AE3,HilfeListe!L15:O36,4,0) + VLOOKUP(AF3,HilfeListe!L15:O36,4,0) + VLOOKUP(AG3,HilfeListe!L15:O36,4,0) + VLOOKUP(AH3,HilfeListe!L15:O36,4,0) + VLOOKUP(AI3,HilfeListe!L15:O36,4,0) + VLOOKUP(AJ3,HilfeListe!L15:O36,4,0))</f>
        <v>76.641000000000005</v>
      </c>
      <c r="AX2" s="136"/>
      <c r="AY2" s="94"/>
      <c r="AZ2" s="94"/>
      <c r="BA2" s="95"/>
      <c r="BB2" s="96"/>
      <c r="BC2" s="94"/>
      <c r="BD2" s="94"/>
      <c r="BE2" s="97"/>
    </row>
    <row r="3" spans="1:58" ht="22.5" customHeight="1">
      <c r="A3" s="177" t="str">
        <f>IF(ISERROR(FIND(B3,HilfeListe!H37,1)),"?","")</f>
        <v/>
      </c>
      <c r="B3" s="198" t="s">
        <v>17</v>
      </c>
      <c r="C3" s="198" t="s">
        <v>18</v>
      </c>
      <c r="D3" s="178">
        <f>IF(SUM(AA31:AJ31)=0,A8,SUM(AA31:AJ31)/COUNTIF(AA31:AJ31,"&gt;0"))</f>
        <v>2</v>
      </c>
      <c r="E3" s="174" t="s">
        <v>19</v>
      </c>
      <c r="F3" s="1096"/>
      <c r="G3" s="1097"/>
      <c r="H3" s="123" t="s">
        <v>20</v>
      </c>
      <c r="I3" s="106" t="s">
        <v>21</v>
      </c>
      <c r="J3" s="65" t="s">
        <v>22</v>
      </c>
      <c r="K3" s="69" t="s">
        <v>23</v>
      </c>
      <c r="L3" s="65" t="s">
        <v>24</v>
      </c>
      <c r="M3" s="55" t="s">
        <v>25</v>
      </c>
      <c r="N3" s="69" t="s">
        <v>23</v>
      </c>
      <c r="O3" s="65" t="s">
        <v>23</v>
      </c>
      <c r="P3" s="75" t="s">
        <v>23</v>
      </c>
      <c r="Q3" s="76" t="s">
        <v>23</v>
      </c>
      <c r="R3" s="65" t="s">
        <v>23</v>
      </c>
      <c r="S3" s="55" t="s">
        <v>23</v>
      </c>
      <c r="T3" s="69" t="s">
        <v>23</v>
      </c>
      <c r="U3" s="65" t="s">
        <v>23</v>
      </c>
      <c r="V3" s="106" t="s">
        <v>26</v>
      </c>
      <c r="W3" s="108" t="s">
        <v>25</v>
      </c>
      <c r="X3" s="436" t="s">
        <v>10</v>
      </c>
      <c r="Y3" s="437">
        <f>Y2/D4/(IF(A8=0,1,A8))</f>
        <v>20.96</v>
      </c>
      <c r="Z3" s="142" t="s">
        <v>27</v>
      </c>
      <c r="AA3" s="88"/>
      <c r="AB3" s="83" t="s">
        <v>28</v>
      </c>
      <c r="AC3" s="60" t="s">
        <v>28</v>
      </c>
      <c r="AD3" s="88"/>
      <c r="AE3" s="83"/>
      <c r="AF3" s="60"/>
      <c r="AG3" s="88"/>
      <c r="AH3" s="83"/>
      <c r="AI3" s="60"/>
      <c r="AJ3" s="132"/>
      <c r="AK3" s="120" t="s">
        <v>29</v>
      </c>
      <c r="AL3" s="1104" t="s">
        <v>30</v>
      </c>
      <c r="AM3" s="1105"/>
      <c r="AN3" s="1105"/>
      <c r="AO3" s="1105"/>
      <c r="AP3" s="1105"/>
      <c r="AQ3" s="1105"/>
      <c r="AR3" s="1105"/>
      <c r="AS3" s="1105"/>
      <c r="AT3" s="1105"/>
      <c r="AU3" s="1106"/>
      <c r="AV3" s="442" t="s">
        <v>10</v>
      </c>
      <c r="AW3" s="443">
        <f>AW2/D4/(IF(A8=0,1,A8))</f>
        <v>12.7735</v>
      </c>
      <c r="AX3" s="136"/>
      <c r="AY3" s="94"/>
      <c r="AZ3" s="94"/>
      <c r="BA3" s="95"/>
      <c r="BB3" s="96"/>
      <c r="BC3" s="94"/>
      <c r="BD3" s="94"/>
      <c r="BE3" s="97"/>
    </row>
    <row r="4" spans="1:58" ht="22.5" customHeight="1">
      <c r="A4" s="179" t="str">
        <f>IF(B4&gt;C4,"?","")</f>
        <v/>
      </c>
      <c r="B4" s="199">
        <v>45842</v>
      </c>
      <c r="C4" s="199">
        <v>45842</v>
      </c>
      <c r="D4" s="178">
        <f>IF(SUM(AA7:AJ7)=0,C4-B4+1,(COUNTA(AA9:AJ29)+A8)/A8)</f>
        <v>3</v>
      </c>
      <c r="E4" s="174" t="s">
        <v>31</v>
      </c>
      <c r="F4" s="1096"/>
      <c r="G4" s="1097"/>
      <c r="H4" s="408" t="s">
        <v>32</v>
      </c>
      <c r="I4" s="410">
        <v>1.45</v>
      </c>
      <c r="J4" s="70">
        <v>8</v>
      </c>
      <c r="K4" s="70">
        <v>7</v>
      </c>
      <c r="L4" s="66">
        <v>7</v>
      </c>
      <c r="M4" s="56"/>
      <c r="N4" s="70"/>
      <c r="O4" s="66"/>
      <c r="P4" s="77"/>
      <c r="Q4" s="78"/>
      <c r="R4" s="66"/>
      <c r="S4" s="56"/>
      <c r="T4" s="70"/>
      <c r="U4" s="66"/>
      <c r="V4" s="109">
        <f>SUM(V9:V29)*8</f>
        <v>0</v>
      </c>
      <c r="W4" s="110">
        <v>0</v>
      </c>
      <c r="X4" s="438"/>
      <c r="Y4" s="429"/>
      <c r="Z4" s="142" t="s">
        <v>33</v>
      </c>
      <c r="AA4" s="92">
        <v>0</v>
      </c>
      <c r="AB4" s="84">
        <f>AA4+1</f>
        <v>1</v>
      </c>
      <c r="AC4" s="61">
        <f t="shared" ref="AC4:AJ4" si="0">AB4+1</f>
        <v>2</v>
      </c>
      <c r="AD4" s="89">
        <f t="shared" si="0"/>
        <v>3</v>
      </c>
      <c r="AE4" s="84">
        <f t="shared" si="0"/>
        <v>4</v>
      </c>
      <c r="AF4" s="61">
        <f t="shared" si="0"/>
        <v>5</v>
      </c>
      <c r="AG4" s="89">
        <f t="shared" si="0"/>
        <v>6</v>
      </c>
      <c r="AH4" s="84">
        <f t="shared" si="0"/>
        <v>7</v>
      </c>
      <c r="AI4" s="61">
        <f t="shared" si="0"/>
        <v>8</v>
      </c>
      <c r="AJ4" s="133">
        <f t="shared" si="0"/>
        <v>9</v>
      </c>
      <c r="AK4" s="120" t="s">
        <v>34</v>
      </c>
      <c r="AL4" s="55" t="s">
        <v>12</v>
      </c>
      <c r="AM4" s="55"/>
      <c r="AN4" s="68"/>
      <c r="AO4" s="65"/>
      <c r="AP4" s="55"/>
      <c r="AQ4" s="68"/>
      <c r="AR4" s="65"/>
      <c r="AS4" s="55"/>
      <c r="AT4" s="68"/>
      <c r="AU4" s="65"/>
      <c r="AV4" s="54" t="s">
        <v>35</v>
      </c>
      <c r="AW4" s="444"/>
      <c r="AX4" s="1108" t="s">
        <v>36</v>
      </c>
      <c r="AY4" s="1107" t="s">
        <v>37</v>
      </c>
      <c r="AZ4" s="1107" t="s">
        <v>38</v>
      </c>
      <c r="BA4" s="1113" t="s">
        <v>39</v>
      </c>
      <c r="BB4" s="1112" t="s">
        <v>40</v>
      </c>
      <c r="BC4" s="1107" t="s">
        <v>41</v>
      </c>
      <c r="BD4" s="1107" t="s">
        <v>42</v>
      </c>
      <c r="BE4" s="121" t="s">
        <v>43</v>
      </c>
    </row>
    <row r="5" spans="1:58" ht="22.5" customHeight="1">
      <c r="A5" s="179" t="str">
        <f>IF(OR(B5="",C5=""),"?","")</f>
        <v/>
      </c>
      <c r="B5" s="200" t="s">
        <v>44</v>
      </c>
      <c r="C5" s="200" t="s">
        <v>45</v>
      </c>
      <c r="D5" s="202">
        <v>600</v>
      </c>
      <c r="E5" s="175" t="s">
        <v>46</v>
      </c>
      <c r="F5" s="1096"/>
      <c r="G5" s="1097"/>
      <c r="H5" s="123" t="s">
        <v>47</v>
      </c>
      <c r="I5" s="428">
        <f>VLOOKUP(I3,HilfeListe!$T15:$U36,2,0)</f>
        <v>2</v>
      </c>
      <c r="J5" s="428">
        <f>VLOOKUP(J3,HilfeListe!$T15:$U36,2,0)</f>
        <v>2.65</v>
      </c>
      <c r="K5" s="428">
        <f>VLOOKUP(K3,HilfeListe!$T15:$U36,2,0)</f>
        <v>2.3199999999999998</v>
      </c>
      <c r="L5" s="430">
        <f>VLOOKUP(L3,HilfeListe!$T15:$U36,2,0)</f>
        <v>9.2902266815310289E-2</v>
      </c>
      <c r="M5" s="428">
        <f>VLOOKUP(M3,HilfeListe!$T15:$U36,2,0)</f>
        <v>0</v>
      </c>
      <c r="N5" s="431">
        <f>VLOOKUP(N3,HilfeListe!$T15:$U36,2,0)</f>
        <v>2.3199999999999998</v>
      </c>
      <c r="O5" s="430">
        <f>VLOOKUP(O3,HilfeListe!$T15:$U36,2,0)</f>
        <v>2.3199999999999998</v>
      </c>
      <c r="P5" s="432">
        <f>VLOOKUP(P3,HilfeListe!$T15:$U36,2,0)</f>
        <v>2.3199999999999998</v>
      </c>
      <c r="Q5" s="433">
        <f>VLOOKUP(Q3,HilfeListe!$T15:$U36,2,0)</f>
        <v>2.3199999999999998</v>
      </c>
      <c r="R5" s="430">
        <f>VLOOKUP(R3,HilfeListe!$T15:$U36,2,0)</f>
        <v>2.3199999999999998</v>
      </c>
      <c r="S5" s="428">
        <f>VLOOKUP(S3,HilfeListe!$T15:$U36,2,0)</f>
        <v>2.3199999999999998</v>
      </c>
      <c r="T5" s="431">
        <f>VLOOKUP(T3,HilfeListe!$T15:$U36,2,0)</f>
        <v>2.3199999999999998</v>
      </c>
      <c r="U5" s="430">
        <f>VLOOKUP(U3,HilfeListe!$T15:$U36,2,0)</f>
        <v>2.3199999999999998</v>
      </c>
      <c r="V5" s="428">
        <f>VLOOKUP(V3,HilfeListe!$T15:$U36,2,0)</f>
        <v>2.65</v>
      </c>
      <c r="W5" s="109">
        <f>VLOOKUP(W3,HilfeListe!$T15:$U36,2,0)</f>
        <v>0</v>
      </c>
      <c r="X5" s="439"/>
      <c r="Y5" s="429"/>
      <c r="Z5" s="142" t="s">
        <v>48</v>
      </c>
      <c r="AA5" s="90">
        <f>B4-1</f>
        <v>45841</v>
      </c>
      <c r="AB5" s="85">
        <f>AA5+1</f>
        <v>45842</v>
      </c>
      <c r="AC5" s="62">
        <f t="shared" ref="AC5:AJ5" si="1">AB5+1</f>
        <v>45843</v>
      </c>
      <c r="AD5" s="90">
        <f t="shared" si="1"/>
        <v>45844</v>
      </c>
      <c r="AE5" s="85">
        <f t="shared" si="1"/>
        <v>45845</v>
      </c>
      <c r="AF5" s="62">
        <f t="shared" si="1"/>
        <v>45846</v>
      </c>
      <c r="AG5" s="90">
        <f t="shared" si="1"/>
        <v>45847</v>
      </c>
      <c r="AH5" s="85">
        <f t="shared" si="1"/>
        <v>45848</v>
      </c>
      <c r="AI5" s="62">
        <f t="shared" si="1"/>
        <v>45849</v>
      </c>
      <c r="AJ5" s="134">
        <f t="shared" si="1"/>
        <v>45850</v>
      </c>
      <c r="AK5" s="120" t="s">
        <v>49</v>
      </c>
      <c r="AL5" s="55" t="s">
        <v>50</v>
      </c>
      <c r="AM5" s="55" t="s">
        <v>51</v>
      </c>
      <c r="AN5" s="69" t="s">
        <v>51</v>
      </c>
      <c r="AO5" s="65" t="s">
        <v>51</v>
      </c>
      <c r="AP5" s="55"/>
      <c r="AQ5" s="69"/>
      <c r="AR5" s="65"/>
      <c r="AS5" s="55"/>
      <c r="AT5" s="69"/>
      <c r="AU5" s="65"/>
      <c r="AV5" s="445" t="s">
        <v>52</v>
      </c>
      <c r="AW5" s="406"/>
      <c r="AX5" s="1108"/>
      <c r="AY5" s="1107"/>
      <c r="AZ5" s="1107"/>
      <c r="BA5" s="1113"/>
      <c r="BB5" s="1112"/>
      <c r="BC5" s="1107"/>
      <c r="BD5" s="1107"/>
      <c r="BE5" s="98" t="s">
        <v>53</v>
      </c>
    </row>
    <row r="6" spans="1:58" ht="22.5" customHeight="1">
      <c r="A6" s="180"/>
      <c r="B6" s="1094" t="s">
        <v>54</v>
      </c>
      <c r="C6" s="1094"/>
      <c r="D6" s="203">
        <v>0</v>
      </c>
      <c r="E6" s="176" t="s">
        <v>46</v>
      </c>
      <c r="F6" s="1096"/>
      <c r="G6" s="1097"/>
      <c r="H6" s="123" t="s">
        <v>55</v>
      </c>
      <c r="I6" s="57">
        <f>ROUND((I4*I5*10)/(1),0)</f>
        <v>29</v>
      </c>
      <c r="J6" s="71">
        <f t="shared" ref="J6:W6" si="2">IF((J7-J8)=0,0,ROUND((J4*J5*10)/(J7-J8),0))</f>
        <v>106</v>
      </c>
      <c r="K6" s="71">
        <f t="shared" si="2"/>
        <v>32</v>
      </c>
      <c r="L6" s="67">
        <f t="shared" si="2"/>
        <v>2</v>
      </c>
      <c r="M6" s="57">
        <f t="shared" si="2"/>
        <v>0</v>
      </c>
      <c r="N6" s="71">
        <f t="shared" si="2"/>
        <v>0</v>
      </c>
      <c r="O6" s="67">
        <f t="shared" si="2"/>
        <v>0</v>
      </c>
      <c r="P6" s="79">
        <f t="shared" si="2"/>
        <v>0</v>
      </c>
      <c r="Q6" s="80">
        <f t="shared" si="2"/>
        <v>0</v>
      </c>
      <c r="R6" s="72">
        <f t="shared" si="2"/>
        <v>0</v>
      </c>
      <c r="S6" s="57">
        <f t="shared" si="2"/>
        <v>0</v>
      </c>
      <c r="T6" s="71">
        <f t="shared" si="2"/>
        <v>0</v>
      </c>
      <c r="U6" s="67">
        <f t="shared" si="2"/>
        <v>0</v>
      </c>
      <c r="V6" s="57">
        <f t="shared" si="2"/>
        <v>0</v>
      </c>
      <c r="W6" s="58">
        <f t="shared" si="2"/>
        <v>0</v>
      </c>
      <c r="X6" s="1090">
        <f>(I6*I7 + IF(J31&lt;0,0,J6*(J7-J8)) + IF(K31&lt;0,0,K6*(K7-K8)) + IF(L31&lt;0,0,L6*(L7-L8)) + IF(M31&lt;0,0,M8*(M7-M8)) + IF(N31&lt;0,0,N8*(N7-N8)) + IF(O31&lt;0,0,O8*(O7-O8)) + IF(P31&lt;0,0,P8*(P7-P8)) + IF(Q31&lt;0,0,Q8*(Q7-Q8)) + IF(R31&lt;0,0,R8*(R7-R8)) + IF(S31&lt;0,0,S8*(S7-S8)) + IF(T31&lt;0,0,T8*(T7-T8)) + IF(U31&lt;0,0,U8*(U7-U8)) + V7*V6 + IF(W31&lt;0,0,W8*(W7-W8)) ) /(IF(A8=0,1,A8))</f>
        <v>106</v>
      </c>
      <c r="Y6" s="1091"/>
      <c r="Z6" s="142" t="s">
        <v>56</v>
      </c>
      <c r="AA6" s="91">
        <f>B4-1</f>
        <v>45841</v>
      </c>
      <c r="AB6" s="86">
        <f>AA6+1</f>
        <v>45842</v>
      </c>
      <c r="AC6" s="63">
        <f t="shared" ref="AC6:AJ6" si="3">AB6+1</f>
        <v>45843</v>
      </c>
      <c r="AD6" s="91">
        <f t="shared" si="3"/>
        <v>45844</v>
      </c>
      <c r="AE6" s="86">
        <f t="shared" si="3"/>
        <v>45845</v>
      </c>
      <c r="AF6" s="63">
        <f t="shared" si="3"/>
        <v>45846</v>
      </c>
      <c r="AG6" s="91">
        <f t="shared" si="3"/>
        <v>45847</v>
      </c>
      <c r="AH6" s="86">
        <f t="shared" si="3"/>
        <v>45848</v>
      </c>
      <c r="AI6" s="63">
        <f t="shared" si="3"/>
        <v>45849</v>
      </c>
      <c r="AJ6" s="135">
        <f t="shared" si="3"/>
        <v>45850</v>
      </c>
      <c r="AK6" s="120" t="s">
        <v>57</v>
      </c>
      <c r="AL6" s="55" t="s">
        <v>58</v>
      </c>
      <c r="AM6" s="55" t="s">
        <v>58</v>
      </c>
      <c r="AN6" s="69" t="s">
        <v>58</v>
      </c>
      <c r="AO6" s="65" t="s">
        <v>58</v>
      </c>
      <c r="AP6" s="59"/>
      <c r="AQ6" s="82"/>
      <c r="AR6" s="81"/>
      <c r="AS6" s="59"/>
      <c r="AT6" s="82"/>
      <c r="AU6" s="81"/>
      <c r="AV6" s="446" t="s">
        <v>59</v>
      </c>
      <c r="AW6" s="118" t="s">
        <v>60</v>
      </c>
      <c r="AX6" s="137">
        <f t="shared" ref="AX6:BD6" si="4">COUNTIF(AX9:AX29,"&gt;0")+COUNTIF(AX9:AX29,"&lt;0")</f>
        <v>0</v>
      </c>
      <c r="AY6" s="99">
        <f t="shared" si="4"/>
        <v>0</v>
      </c>
      <c r="AZ6" s="99">
        <f t="shared" si="4"/>
        <v>0</v>
      </c>
      <c r="BA6" s="100">
        <f t="shared" si="4"/>
        <v>0</v>
      </c>
      <c r="BB6" s="101">
        <f t="shared" si="4"/>
        <v>0</v>
      </c>
      <c r="BC6" s="99">
        <f t="shared" si="4"/>
        <v>0</v>
      </c>
      <c r="BD6" s="99">
        <f t="shared" si="4"/>
        <v>0</v>
      </c>
      <c r="BE6" s="97" t="s">
        <v>61</v>
      </c>
    </row>
    <row r="7" spans="1:58" ht="17.25" customHeight="1">
      <c r="A7" s="181">
        <v>8</v>
      </c>
      <c r="B7" s="182" t="s">
        <v>62</v>
      </c>
      <c r="C7" s="183" t="s">
        <v>63</v>
      </c>
      <c r="D7" s="204">
        <v>0</v>
      </c>
      <c r="E7" s="184" t="s">
        <v>64</v>
      </c>
      <c r="F7" s="1096"/>
      <c r="G7" s="1097"/>
      <c r="H7" s="447" t="s">
        <v>65</v>
      </c>
      <c r="I7" s="448">
        <f>SUM(I9:I29)</f>
        <v>0</v>
      </c>
      <c r="J7" s="449">
        <v>5</v>
      </c>
      <c r="K7" s="450">
        <v>5</v>
      </c>
      <c r="L7" s="451">
        <v>4</v>
      </c>
      <c r="M7" s="449"/>
      <c r="N7" s="450"/>
      <c r="O7" s="451"/>
      <c r="P7" s="452"/>
      <c r="Q7" s="453"/>
      <c r="R7" s="451"/>
      <c r="S7" s="449"/>
      <c r="T7" s="450"/>
      <c r="U7" s="451"/>
      <c r="V7" s="448">
        <f>SUM(V9:V29)</f>
        <v>0</v>
      </c>
      <c r="W7" s="448">
        <f>SUM(W9:W29)</f>
        <v>0</v>
      </c>
      <c r="X7" s="1092">
        <f>A8/SUM(I31:W31)</f>
        <v>0.40000112000313615</v>
      </c>
      <c r="Y7" s="1093"/>
      <c r="Z7" s="454" t="s">
        <v>66</v>
      </c>
      <c r="AA7" s="455">
        <v>0</v>
      </c>
      <c r="AB7" s="456">
        <v>2</v>
      </c>
      <c r="AC7" s="457">
        <v>2</v>
      </c>
      <c r="AD7" s="455">
        <v>0</v>
      </c>
      <c r="AE7" s="456">
        <v>0</v>
      </c>
      <c r="AF7" s="457">
        <v>0</v>
      </c>
      <c r="AG7" s="455">
        <v>0</v>
      </c>
      <c r="AH7" s="456">
        <v>0</v>
      </c>
      <c r="AI7" s="457">
        <v>0</v>
      </c>
      <c r="AJ7" s="458">
        <v>0</v>
      </c>
      <c r="AK7" s="459" t="s">
        <v>66</v>
      </c>
      <c r="AL7" s="449">
        <v>2</v>
      </c>
      <c r="AM7" s="449">
        <v>0</v>
      </c>
      <c r="AN7" s="450"/>
      <c r="AO7" s="451"/>
      <c r="AP7" s="449"/>
      <c r="AQ7" s="450"/>
      <c r="AR7" s="451"/>
      <c r="AS7" s="449"/>
      <c r="AT7" s="450"/>
      <c r="AU7" s="451"/>
      <c r="AV7" s="460" t="s">
        <v>67</v>
      </c>
      <c r="AW7" s="500">
        <v>0</v>
      </c>
      <c r="AX7" s="138">
        <f t="shared" ref="AX7:BD7" si="5">SUMIF(AX9:AX30,"&gt;0")</f>
        <v>0</v>
      </c>
      <c r="AY7" s="102">
        <f t="shared" si="5"/>
        <v>0</v>
      </c>
      <c r="AZ7" s="102">
        <f t="shared" si="5"/>
        <v>0</v>
      </c>
      <c r="BA7" s="103">
        <f t="shared" si="5"/>
        <v>0</v>
      </c>
      <c r="BB7" s="104">
        <f t="shared" si="5"/>
        <v>0</v>
      </c>
      <c r="BC7" s="102">
        <f t="shared" si="5"/>
        <v>0</v>
      </c>
      <c r="BD7" s="102">
        <f t="shared" si="5"/>
        <v>0</v>
      </c>
      <c r="BE7" s="97" t="s">
        <v>68</v>
      </c>
    </row>
    <row r="8" spans="1:58" s="486" customFormat="1" ht="13.5" thickBot="1">
      <c r="A8" s="461">
        <f>COUNT(A9:A29)</f>
        <v>2</v>
      </c>
      <c r="B8" s="462" t="s">
        <v>69</v>
      </c>
      <c r="C8" s="488" t="s">
        <v>34</v>
      </c>
      <c r="D8" s="463" t="s">
        <v>70</v>
      </c>
      <c r="E8" s="464" t="s">
        <v>71</v>
      </c>
      <c r="F8" s="465" t="s">
        <v>72</v>
      </c>
      <c r="G8" s="487" t="s">
        <v>73</v>
      </c>
      <c r="H8" s="466">
        <f>SUM(I8:V8)</f>
        <v>3</v>
      </c>
      <c r="I8" s="467">
        <f t="shared" ref="I8:U8" si="6">IF(SUM(I9:I29)=0,,I7-SUM(I9:I29))</f>
        <v>0</v>
      </c>
      <c r="J8" s="467">
        <f t="shared" si="6"/>
        <v>3</v>
      </c>
      <c r="K8" s="468">
        <f t="shared" si="6"/>
        <v>0</v>
      </c>
      <c r="L8" s="467">
        <f t="shared" si="6"/>
        <v>0</v>
      </c>
      <c r="M8" s="467">
        <f t="shared" si="6"/>
        <v>0</v>
      </c>
      <c r="N8" s="468">
        <f t="shared" si="6"/>
        <v>0</v>
      </c>
      <c r="O8" s="467">
        <f t="shared" si="6"/>
        <v>0</v>
      </c>
      <c r="P8" s="467">
        <f t="shared" si="6"/>
        <v>0</v>
      </c>
      <c r="Q8" s="468">
        <f t="shared" si="6"/>
        <v>0</v>
      </c>
      <c r="R8" s="467">
        <f t="shared" si="6"/>
        <v>0</v>
      </c>
      <c r="S8" s="467">
        <f t="shared" si="6"/>
        <v>0</v>
      </c>
      <c r="T8" s="468">
        <f t="shared" si="6"/>
        <v>0</v>
      </c>
      <c r="U8" s="467">
        <f t="shared" si="6"/>
        <v>0</v>
      </c>
      <c r="V8" s="468">
        <f>IF(SUM(V9:V29)=0,,V7-SUM(V9:V29))</f>
        <v>0</v>
      </c>
      <c r="W8" s="469">
        <v>0</v>
      </c>
      <c r="X8" s="469" t="s">
        <v>74</v>
      </c>
      <c r="Y8" s="470" t="s">
        <v>75</v>
      </c>
      <c r="Z8" s="471" t="s">
        <v>73</v>
      </c>
      <c r="AA8" s="93">
        <f t="shared" ref="AA8:AJ8" si="7">AA7-COUNTA(AA9:AA29)</f>
        <v>0</v>
      </c>
      <c r="AB8" s="472">
        <f t="shared" si="7"/>
        <v>0</v>
      </c>
      <c r="AC8" s="473">
        <f t="shared" si="7"/>
        <v>0</v>
      </c>
      <c r="AD8" s="474">
        <f t="shared" si="7"/>
        <v>0</v>
      </c>
      <c r="AE8" s="472">
        <f t="shared" si="7"/>
        <v>0</v>
      </c>
      <c r="AF8" s="473">
        <f t="shared" si="7"/>
        <v>0</v>
      </c>
      <c r="AG8" s="474">
        <f t="shared" si="7"/>
        <v>0</v>
      </c>
      <c r="AH8" s="475">
        <f t="shared" si="7"/>
        <v>0</v>
      </c>
      <c r="AI8" s="476">
        <f t="shared" si="7"/>
        <v>0</v>
      </c>
      <c r="AJ8" s="473">
        <f t="shared" si="7"/>
        <v>0</v>
      </c>
      <c r="AK8" s="477">
        <f>SUM(AL7:AU7)-SUM(AL9:AU29)</f>
        <v>0</v>
      </c>
      <c r="AL8" s="472">
        <f t="shared" ref="AL8:AU8" si="8">AL7-SUM(AL9:AL29)</f>
        <v>0</v>
      </c>
      <c r="AM8" s="476">
        <f t="shared" si="8"/>
        <v>0</v>
      </c>
      <c r="AN8" s="474">
        <f t="shared" si="8"/>
        <v>0</v>
      </c>
      <c r="AO8" s="472">
        <f t="shared" si="8"/>
        <v>0</v>
      </c>
      <c r="AP8" s="476">
        <f t="shared" si="8"/>
        <v>0</v>
      </c>
      <c r="AQ8" s="474">
        <f t="shared" si="8"/>
        <v>0</v>
      </c>
      <c r="AR8" s="472">
        <f t="shared" si="8"/>
        <v>0</v>
      </c>
      <c r="AS8" s="476">
        <f t="shared" si="8"/>
        <v>0</v>
      </c>
      <c r="AT8" s="474">
        <f t="shared" si="8"/>
        <v>0</v>
      </c>
      <c r="AU8" s="472">
        <f t="shared" si="8"/>
        <v>0</v>
      </c>
      <c r="AV8" s="478"/>
      <c r="AW8" s="479">
        <f>AW7-SUM(AW9:AW29)</f>
        <v>0</v>
      </c>
      <c r="AX8" s="480">
        <f t="shared" ref="AX8:BD8" si="9">AX7-AX6</f>
        <v>0</v>
      </c>
      <c r="AY8" s="481">
        <f t="shared" si="9"/>
        <v>0</v>
      </c>
      <c r="AZ8" s="481">
        <f t="shared" si="9"/>
        <v>0</v>
      </c>
      <c r="BA8" s="482">
        <f t="shared" si="9"/>
        <v>0</v>
      </c>
      <c r="BB8" s="483">
        <f t="shared" si="9"/>
        <v>0</v>
      </c>
      <c r="BC8" s="481">
        <f t="shared" si="9"/>
        <v>0</v>
      </c>
      <c r="BD8" s="481">
        <f t="shared" si="9"/>
        <v>0</v>
      </c>
      <c r="BE8" s="484" t="s">
        <v>69</v>
      </c>
      <c r="BF8" s="485"/>
    </row>
    <row r="9" spans="1:58" s="15" customFormat="1" ht="13.5" thickTop="1">
      <c r="A9" s="400">
        <f>IF(B9&lt;&gt;"",1,"")</f>
        <v>1</v>
      </c>
      <c r="B9" s="205" t="s">
        <v>76</v>
      </c>
      <c r="C9" s="205" t="s">
        <v>77</v>
      </c>
      <c r="D9" s="1057"/>
      <c r="E9" s="798">
        <v>1</v>
      </c>
      <c r="F9" s="206"/>
      <c r="G9" s="207"/>
      <c r="H9" s="124">
        <f t="shared" ref="H9:H29" si="10">IF(AND($A9&lt;&gt;"",SUM(I9:W9)&gt;=0),SUM(I9:W9),"")</f>
        <v>1</v>
      </c>
      <c r="I9" s="231"/>
      <c r="J9" s="232">
        <v>1</v>
      </c>
      <c r="K9" s="233"/>
      <c r="L9" s="234"/>
      <c r="M9" s="232"/>
      <c r="N9" s="233"/>
      <c r="O9" s="234"/>
      <c r="P9" s="232"/>
      <c r="Q9" s="235"/>
      <c r="R9" s="234"/>
      <c r="S9" s="231"/>
      <c r="T9" s="233"/>
      <c r="U9" s="234"/>
      <c r="V9" s="232"/>
      <c r="W9" s="232"/>
      <c r="X9" s="237"/>
      <c r="Y9" s="238"/>
      <c r="Z9" s="239"/>
      <c r="AA9" s="240"/>
      <c r="AB9" s="241" t="s">
        <v>78</v>
      </c>
      <c r="AC9" s="242" t="s">
        <v>78</v>
      </c>
      <c r="AD9" s="243"/>
      <c r="AE9" s="241"/>
      <c r="AF9" s="242"/>
      <c r="AG9" s="243"/>
      <c r="AH9" s="244"/>
      <c r="AI9" s="245"/>
      <c r="AJ9" s="246"/>
      <c r="AK9" s="14">
        <f t="shared" ref="AK9:AK28" si="11">IF(AND(Dauer&gt;1,$A9&lt;&gt;"",SUM(AL9:AU9)&gt;=0),SUM(AL9:AU9),"")</f>
        <v>1</v>
      </c>
      <c r="AL9" s="231">
        <v>1</v>
      </c>
      <c r="AM9" s="236"/>
      <c r="AN9" s="325"/>
      <c r="AO9" s="326"/>
      <c r="AP9" s="236"/>
      <c r="AQ9" s="233"/>
      <c r="AR9" s="326"/>
      <c r="AS9" s="236"/>
      <c r="AT9" s="325"/>
      <c r="AU9" s="326"/>
      <c r="AV9" s="327" t="s">
        <v>59</v>
      </c>
      <c r="AW9" s="328"/>
      <c r="AX9" s="329"/>
      <c r="AY9" s="330"/>
      <c r="AZ9" s="330"/>
      <c r="BA9" s="331"/>
      <c r="BB9" s="332"/>
      <c r="BC9" s="333"/>
      <c r="BD9" s="333"/>
      <c r="BE9" s="334"/>
      <c r="BF9" s="19"/>
    </row>
    <row r="10" spans="1:58" s="16" customFormat="1">
      <c r="A10" s="401">
        <f>IF(B10&lt;&gt;"",MAX(A$9:A9)+1,"")</f>
        <v>2</v>
      </c>
      <c r="B10" s="208" t="s">
        <v>79</v>
      </c>
      <c r="C10" s="208" t="s">
        <v>80</v>
      </c>
      <c r="D10" s="1058"/>
      <c r="E10" s="799">
        <v>1</v>
      </c>
      <c r="F10" s="209"/>
      <c r="G10" s="210"/>
      <c r="H10" s="124">
        <f t="shared" si="10"/>
        <v>1</v>
      </c>
      <c r="I10" s="247"/>
      <c r="J10" s="248">
        <v>1</v>
      </c>
      <c r="K10" s="249"/>
      <c r="L10" s="250"/>
      <c r="M10" s="247"/>
      <c r="N10" s="249"/>
      <c r="O10" s="250"/>
      <c r="P10" s="247"/>
      <c r="Q10" s="249"/>
      <c r="R10" s="250"/>
      <c r="S10" s="247"/>
      <c r="T10" s="249"/>
      <c r="U10" s="250"/>
      <c r="V10" s="247"/>
      <c r="W10" s="247"/>
      <c r="X10" s="251"/>
      <c r="Y10" s="252"/>
      <c r="Z10" s="253"/>
      <c r="AA10" s="254"/>
      <c r="AB10" s="255" t="s">
        <v>78</v>
      </c>
      <c r="AC10" s="256" t="s">
        <v>78</v>
      </c>
      <c r="AD10" s="257"/>
      <c r="AE10" s="255"/>
      <c r="AF10" s="256"/>
      <c r="AG10" s="257"/>
      <c r="AH10" s="258"/>
      <c r="AI10" s="259"/>
      <c r="AJ10" s="260"/>
      <c r="AK10" s="14">
        <f t="shared" si="11"/>
        <v>1</v>
      </c>
      <c r="AL10" s="247">
        <v>1</v>
      </c>
      <c r="AM10" s="335"/>
      <c r="AN10" s="249"/>
      <c r="AO10" s="250"/>
      <c r="AP10" s="247"/>
      <c r="AQ10" s="249"/>
      <c r="AR10" s="250"/>
      <c r="AS10" s="247"/>
      <c r="AT10" s="249"/>
      <c r="AU10" s="250"/>
      <c r="AV10" s="407"/>
      <c r="AW10" s="336"/>
      <c r="AX10" s="337"/>
      <c r="AY10" s="338"/>
      <c r="AZ10" s="338"/>
      <c r="BA10" s="339"/>
      <c r="BB10" s="340"/>
      <c r="BC10" s="341"/>
      <c r="BD10" s="341"/>
      <c r="BE10" s="342"/>
      <c r="BF10" s="20"/>
    </row>
    <row r="11" spans="1:58" s="17" customFormat="1">
      <c r="A11" s="401" t="str">
        <f>IF(B11&lt;&gt;"",MAX(A$9:A10)+1,"")</f>
        <v/>
      </c>
      <c r="B11" s="211"/>
      <c r="C11" s="211"/>
      <c r="D11" s="1059"/>
      <c r="E11" s="798"/>
      <c r="F11" s="206"/>
      <c r="G11" s="212"/>
      <c r="H11" s="124" t="str">
        <f t="shared" si="10"/>
        <v/>
      </c>
      <c r="I11" s="261"/>
      <c r="J11" s="261"/>
      <c r="K11" s="262"/>
      <c r="L11" s="263"/>
      <c r="M11" s="261"/>
      <c r="N11" s="262"/>
      <c r="O11" s="263"/>
      <c r="P11" s="261"/>
      <c r="Q11" s="262"/>
      <c r="R11" s="263"/>
      <c r="S11" s="261"/>
      <c r="T11" s="262"/>
      <c r="U11" s="263"/>
      <c r="V11" s="261"/>
      <c r="W11" s="261"/>
      <c r="X11" s="264"/>
      <c r="Y11" s="265"/>
      <c r="Z11" s="266"/>
      <c r="AA11" s="267"/>
      <c r="AB11" s="268"/>
      <c r="AC11" s="269"/>
      <c r="AD11" s="270"/>
      <c r="AE11" s="268"/>
      <c r="AF11" s="269"/>
      <c r="AG11" s="270"/>
      <c r="AH11" s="271"/>
      <c r="AI11" s="272"/>
      <c r="AJ11" s="273"/>
      <c r="AK11" s="14" t="str">
        <f t="shared" si="11"/>
        <v/>
      </c>
      <c r="AL11" s="261"/>
      <c r="AM11" s="261"/>
      <c r="AN11" s="262"/>
      <c r="AO11" s="263"/>
      <c r="AP11" s="261"/>
      <c r="AQ11" s="262"/>
      <c r="AR11" s="263"/>
      <c r="AS11" s="261"/>
      <c r="AT11" s="262"/>
      <c r="AU11" s="263"/>
      <c r="AV11" s="343"/>
      <c r="AW11" s="344"/>
      <c r="AX11" s="345"/>
      <c r="AY11" s="346"/>
      <c r="AZ11" s="346"/>
      <c r="BA11" s="347"/>
      <c r="BB11" s="348"/>
      <c r="BC11" s="349"/>
      <c r="BD11" s="349"/>
      <c r="BE11" s="350"/>
      <c r="BF11" s="21"/>
    </row>
    <row r="12" spans="1:58" s="36" customFormat="1">
      <c r="A12" s="402" t="str">
        <f>IF(B12&lt;&gt;"",MAX(A$9:A11)+1,"")</f>
        <v/>
      </c>
      <c r="B12" s="213"/>
      <c r="C12" s="213"/>
      <c r="D12" s="1060"/>
      <c r="E12" s="800"/>
      <c r="F12" s="214"/>
      <c r="G12" s="215"/>
      <c r="H12" s="125" t="str">
        <f t="shared" si="10"/>
        <v/>
      </c>
      <c r="I12" s="274"/>
      <c r="J12" s="274"/>
      <c r="K12" s="275"/>
      <c r="L12" s="276"/>
      <c r="M12" s="274"/>
      <c r="N12" s="275"/>
      <c r="O12" s="276"/>
      <c r="P12" s="274"/>
      <c r="Q12" s="275"/>
      <c r="R12" s="276"/>
      <c r="S12" s="274"/>
      <c r="T12" s="275"/>
      <c r="U12" s="276"/>
      <c r="V12" s="274"/>
      <c r="W12" s="274"/>
      <c r="X12" s="277"/>
      <c r="Y12" s="278"/>
      <c r="Z12" s="279"/>
      <c r="AA12" s="280"/>
      <c r="AB12" s="281"/>
      <c r="AC12" s="282"/>
      <c r="AD12" s="283"/>
      <c r="AE12" s="281"/>
      <c r="AF12" s="282"/>
      <c r="AG12" s="283"/>
      <c r="AH12" s="284"/>
      <c r="AI12" s="285"/>
      <c r="AJ12" s="286"/>
      <c r="AK12" s="35" t="str">
        <f t="shared" si="11"/>
        <v/>
      </c>
      <c r="AL12" s="274"/>
      <c r="AM12" s="274"/>
      <c r="AN12" s="275"/>
      <c r="AO12" s="276"/>
      <c r="AP12" s="274"/>
      <c r="AQ12" s="275"/>
      <c r="AR12" s="276"/>
      <c r="AS12" s="274"/>
      <c r="AT12" s="275"/>
      <c r="AU12" s="276"/>
      <c r="AV12" s="351"/>
      <c r="AW12" s="352"/>
      <c r="AX12" s="353"/>
      <c r="AY12" s="354"/>
      <c r="AZ12" s="354"/>
      <c r="BA12" s="355"/>
      <c r="BB12" s="356"/>
      <c r="BC12" s="357"/>
      <c r="BD12" s="357"/>
      <c r="BE12" s="358"/>
      <c r="BF12" s="37"/>
    </row>
    <row r="13" spans="1:58" s="34" customFormat="1">
      <c r="A13" s="403" t="str">
        <f>IF(B13&lt;&gt;"",MAX(A$9:A12)+1,"")</f>
        <v/>
      </c>
      <c r="B13" s="205"/>
      <c r="C13" s="205"/>
      <c r="D13" s="1057"/>
      <c r="E13" s="801"/>
      <c r="F13" s="216"/>
      <c r="G13" s="217"/>
      <c r="H13" s="126" t="str">
        <f t="shared" si="10"/>
        <v/>
      </c>
      <c r="I13" s="287"/>
      <c r="J13" s="287"/>
      <c r="K13" s="288"/>
      <c r="L13" s="289"/>
      <c r="M13" s="287"/>
      <c r="N13" s="288"/>
      <c r="O13" s="289"/>
      <c r="P13" s="287"/>
      <c r="Q13" s="288"/>
      <c r="R13" s="289"/>
      <c r="S13" s="287"/>
      <c r="T13" s="288"/>
      <c r="U13" s="289"/>
      <c r="V13" s="287"/>
      <c r="W13" s="287"/>
      <c r="X13" s="290"/>
      <c r="Y13" s="291"/>
      <c r="Z13" s="292"/>
      <c r="AA13" s="293"/>
      <c r="AB13" s="294"/>
      <c r="AC13" s="295"/>
      <c r="AD13" s="296"/>
      <c r="AE13" s="294"/>
      <c r="AF13" s="295"/>
      <c r="AG13" s="296"/>
      <c r="AH13" s="297"/>
      <c r="AI13" s="298"/>
      <c r="AJ13" s="295"/>
      <c r="AK13" s="32" t="str">
        <f t="shared" si="11"/>
        <v/>
      </c>
      <c r="AL13" s="287"/>
      <c r="AM13" s="287"/>
      <c r="AN13" s="288"/>
      <c r="AO13" s="289"/>
      <c r="AP13" s="287"/>
      <c r="AQ13" s="288"/>
      <c r="AR13" s="289"/>
      <c r="AS13" s="287"/>
      <c r="AT13" s="288"/>
      <c r="AU13" s="289"/>
      <c r="AV13" s="359"/>
      <c r="AW13" s="360"/>
      <c r="AX13" s="361"/>
      <c r="AY13" s="362"/>
      <c r="AZ13" s="362"/>
      <c r="BA13" s="363"/>
      <c r="BB13" s="364"/>
      <c r="BC13" s="365"/>
      <c r="BD13" s="365"/>
      <c r="BE13" s="366"/>
      <c r="BF13" s="33"/>
    </row>
    <row r="14" spans="1:58" s="18" customFormat="1">
      <c r="A14" s="404" t="str">
        <f>IF(B14&lt;&gt;"",MAX(A$9:A13)+1,"")</f>
        <v/>
      </c>
      <c r="B14" s="218"/>
      <c r="C14" s="218"/>
      <c r="D14" s="1061"/>
      <c r="E14" s="367"/>
      <c r="F14" s="219"/>
      <c r="G14" s="220"/>
      <c r="H14" s="124" t="str">
        <f t="shared" si="10"/>
        <v/>
      </c>
      <c r="I14" s="299"/>
      <c r="J14" s="299"/>
      <c r="K14" s="300"/>
      <c r="L14" s="301"/>
      <c r="M14" s="299"/>
      <c r="N14" s="300"/>
      <c r="O14" s="301"/>
      <c r="P14" s="299"/>
      <c r="Q14" s="300"/>
      <c r="R14" s="301"/>
      <c r="S14" s="299"/>
      <c r="T14" s="300"/>
      <c r="U14" s="301"/>
      <c r="V14" s="299"/>
      <c r="W14" s="299"/>
      <c r="X14" s="302"/>
      <c r="Y14" s="303"/>
      <c r="Z14" s="304"/>
      <c r="AA14" s="305"/>
      <c r="AB14" s="306"/>
      <c r="AC14" s="307"/>
      <c r="AD14" s="308"/>
      <c r="AE14" s="306"/>
      <c r="AF14" s="307"/>
      <c r="AG14" s="308"/>
      <c r="AH14" s="309"/>
      <c r="AI14" s="310"/>
      <c r="AJ14" s="307"/>
      <c r="AK14" s="14" t="str">
        <f t="shared" si="11"/>
        <v/>
      </c>
      <c r="AL14" s="299"/>
      <c r="AM14" s="299"/>
      <c r="AN14" s="300"/>
      <c r="AO14" s="301"/>
      <c r="AP14" s="299"/>
      <c r="AQ14" s="300"/>
      <c r="AR14" s="301"/>
      <c r="AS14" s="299"/>
      <c r="AT14" s="300"/>
      <c r="AU14" s="301"/>
      <c r="AV14" s="367"/>
      <c r="AW14" s="368"/>
      <c r="AX14" s="369"/>
      <c r="AY14" s="370"/>
      <c r="AZ14" s="370"/>
      <c r="BA14" s="371"/>
      <c r="BB14" s="372"/>
      <c r="BC14" s="373"/>
      <c r="BD14" s="373"/>
      <c r="BE14" s="374"/>
      <c r="BF14" s="22"/>
    </row>
    <row r="15" spans="1:58" s="17" customFormat="1">
      <c r="A15" s="404" t="str">
        <f>IF(B15&lt;&gt;"",MAX(A$9:A14)+1,"")</f>
        <v/>
      </c>
      <c r="B15" s="211"/>
      <c r="C15" s="211"/>
      <c r="D15" s="1059"/>
      <c r="E15" s="798"/>
      <c r="F15" s="206"/>
      <c r="G15" s="212"/>
      <c r="H15" s="124" t="str">
        <f t="shared" si="10"/>
        <v/>
      </c>
      <c r="I15" s="261"/>
      <c r="J15" s="261"/>
      <c r="K15" s="262"/>
      <c r="L15" s="263"/>
      <c r="M15" s="261"/>
      <c r="N15" s="262"/>
      <c r="O15" s="263"/>
      <c r="P15" s="261"/>
      <c r="Q15" s="262"/>
      <c r="R15" s="263"/>
      <c r="S15" s="261"/>
      <c r="T15" s="262"/>
      <c r="U15" s="263"/>
      <c r="V15" s="261"/>
      <c r="W15" s="261"/>
      <c r="X15" s="264"/>
      <c r="Y15" s="265"/>
      <c r="Z15" s="266"/>
      <c r="AA15" s="267"/>
      <c r="AB15" s="268"/>
      <c r="AC15" s="269"/>
      <c r="AD15" s="270"/>
      <c r="AE15" s="268"/>
      <c r="AF15" s="269"/>
      <c r="AG15" s="270"/>
      <c r="AH15" s="271"/>
      <c r="AI15" s="272"/>
      <c r="AJ15" s="269"/>
      <c r="AK15" s="14" t="str">
        <f t="shared" si="11"/>
        <v/>
      </c>
      <c r="AL15" s="261"/>
      <c r="AM15" s="261"/>
      <c r="AN15" s="262"/>
      <c r="AO15" s="263"/>
      <c r="AP15" s="261"/>
      <c r="AQ15" s="262"/>
      <c r="AR15" s="263"/>
      <c r="AS15" s="261"/>
      <c r="AT15" s="262"/>
      <c r="AU15" s="263"/>
      <c r="AV15" s="343"/>
      <c r="AW15" s="344"/>
      <c r="AX15" s="345"/>
      <c r="AY15" s="346"/>
      <c r="AZ15" s="346"/>
      <c r="BA15" s="347"/>
      <c r="BB15" s="348"/>
      <c r="BC15" s="349"/>
      <c r="BD15" s="349"/>
      <c r="BE15" s="350"/>
      <c r="BF15" s="21"/>
    </row>
    <row r="16" spans="1:58" s="39" customFormat="1">
      <c r="A16" s="402" t="str">
        <f>IF(B16&lt;&gt;"",MAX(A$9:A15)+1,"")</f>
        <v/>
      </c>
      <c r="B16" s="221"/>
      <c r="C16" s="221"/>
      <c r="D16" s="1062"/>
      <c r="E16" s="802"/>
      <c r="F16" s="222"/>
      <c r="G16" s="223"/>
      <c r="H16" s="125" t="str">
        <f t="shared" si="10"/>
        <v/>
      </c>
      <c r="I16" s="311"/>
      <c r="J16" s="311"/>
      <c r="K16" s="312"/>
      <c r="L16" s="313"/>
      <c r="M16" s="311"/>
      <c r="N16" s="312"/>
      <c r="O16" s="313"/>
      <c r="P16" s="311"/>
      <c r="Q16" s="312"/>
      <c r="R16" s="313"/>
      <c r="S16" s="311"/>
      <c r="T16" s="312"/>
      <c r="U16" s="313"/>
      <c r="V16" s="311"/>
      <c r="W16" s="311"/>
      <c r="X16" s="314"/>
      <c r="Y16" s="315"/>
      <c r="Z16" s="316"/>
      <c r="AA16" s="317"/>
      <c r="AB16" s="318"/>
      <c r="AC16" s="319"/>
      <c r="AD16" s="320"/>
      <c r="AE16" s="318"/>
      <c r="AF16" s="319"/>
      <c r="AG16" s="320"/>
      <c r="AH16" s="321"/>
      <c r="AI16" s="322"/>
      <c r="AJ16" s="319"/>
      <c r="AK16" s="35" t="str">
        <f t="shared" si="11"/>
        <v/>
      </c>
      <c r="AL16" s="311"/>
      <c r="AM16" s="311"/>
      <c r="AN16" s="312"/>
      <c r="AO16" s="313"/>
      <c r="AP16" s="311"/>
      <c r="AQ16" s="312"/>
      <c r="AR16" s="313"/>
      <c r="AS16" s="311"/>
      <c r="AT16" s="312"/>
      <c r="AU16" s="313"/>
      <c r="AV16" s="375"/>
      <c r="AW16" s="376"/>
      <c r="AX16" s="377"/>
      <c r="AY16" s="378"/>
      <c r="AZ16" s="378"/>
      <c r="BA16" s="379"/>
      <c r="BB16" s="380"/>
      <c r="BC16" s="381"/>
      <c r="BD16" s="381"/>
      <c r="BE16" s="382"/>
      <c r="BF16" s="38"/>
    </row>
    <row r="17" spans="1:58" s="34" customFormat="1">
      <c r="A17" s="403" t="str">
        <f>IF(B17&lt;&gt;"",MAX(A$9:A16)+1,"")</f>
        <v/>
      </c>
      <c r="B17" s="205"/>
      <c r="C17" s="205"/>
      <c r="D17" s="1057"/>
      <c r="E17" s="801"/>
      <c r="F17" s="216"/>
      <c r="G17" s="217"/>
      <c r="H17" s="126" t="str">
        <f t="shared" si="10"/>
        <v/>
      </c>
      <c r="I17" s="287"/>
      <c r="J17" s="287"/>
      <c r="K17" s="288"/>
      <c r="L17" s="289"/>
      <c r="M17" s="287"/>
      <c r="N17" s="288"/>
      <c r="O17" s="289"/>
      <c r="P17" s="287"/>
      <c r="Q17" s="288"/>
      <c r="R17" s="289"/>
      <c r="S17" s="287"/>
      <c r="T17" s="288"/>
      <c r="U17" s="289"/>
      <c r="V17" s="287"/>
      <c r="W17" s="287"/>
      <c r="X17" s="290"/>
      <c r="Y17" s="291"/>
      <c r="Z17" s="292"/>
      <c r="AA17" s="293"/>
      <c r="AB17" s="294"/>
      <c r="AC17" s="295"/>
      <c r="AD17" s="296"/>
      <c r="AE17" s="294"/>
      <c r="AF17" s="295"/>
      <c r="AG17" s="296"/>
      <c r="AH17" s="297"/>
      <c r="AI17" s="298"/>
      <c r="AJ17" s="295"/>
      <c r="AK17" s="32" t="str">
        <f t="shared" si="11"/>
        <v/>
      </c>
      <c r="AL17" s="287"/>
      <c r="AM17" s="287"/>
      <c r="AN17" s="288"/>
      <c r="AO17" s="289"/>
      <c r="AP17" s="287"/>
      <c r="AQ17" s="288"/>
      <c r="AR17" s="289"/>
      <c r="AS17" s="287"/>
      <c r="AT17" s="288"/>
      <c r="AU17" s="289"/>
      <c r="AV17" s="359"/>
      <c r="AW17" s="360"/>
      <c r="AX17" s="361"/>
      <c r="AY17" s="362"/>
      <c r="AZ17" s="362"/>
      <c r="BA17" s="363"/>
      <c r="BB17" s="364"/>
      <c r="BC17" s="365"/>
      <c r="BD17" s="365"/>
      <c r="BE17" s="366"/>
      <c r="BF17" s="33"/>
    </row>
    <row r="18" spans="1:58" s="18" customFormat="1">
      <c r="A18" s="404" t="str">
        <f>IF(B18&lt;&gt;"",MAX(A$9:A17)+1,"")</f>
        <v/>
      </c>
      <c r="B18" s="218"/>
      <c r="C18" s="218"/>
      <c r="D18" s="1061"/>
      <c r="E18" s="803"/>
      <c r="F18" s="224"/>
      <c r="G18" s="225"/>
      <c r="H18" s="124" t="str">
        <f t="shared" si="10"/>
        <v/>
      </c>
      <c r="I18" s="299"/>
      <c r="J18" s="299"/>
      <c r="K18" s="300"/>
      <c r="L18" s="301"/>
      <c r="M18" s="299"/>
      <c r="N18" s="300"/>
      <c r="O18" s="301"/>
      <c r="P18" s="299"/>
      <c r="Q18" s="300"/>
      <c r="R18" s="301"/>
      <c r="S18" s="299"/>
      <c r="T18" s="300"/>
      <c r="U18" s="301"/>
      <c r="V18" s="299"/>
      <c r="W18" s="299"/>
      <c r="X18" s="323"/>
      <c r="Y18" s="324"/>
      <c r="Z18" s="304"/>
      <c r="AA18" s="305"/>
      <c r="AB18" s="306"/>
      <c r="AC18" s="307"/>
      <c r="AD18" s="308"/>
      <c r="AE18" s="306"/>
      <c r="AF18" s="307"/>
      <c r="AG18" s="308"/>
      <c r="AH18" s="309"/>
      <c r="AI18" s="310"/>
      <c r="AJ18" s="307"/>
      <c r="AK18" s="14" t="str">
        <f t="shared" si="11"/>
        <v/>
      </c>
      <c r="AL18" s="299"/>
      <c r="AM18" s="299"/>
      <c r="AN18" s="300"/>
      <c r="AO18" s="301"/>
      <c r="AP18" s="299"/>
      <c r="AQ18" s="300"/>
      <c r="AR18" s="301"/>
      <c r="AS18" s="299"/>
      <c r="AT18" s="300"/>
      <c r="AU18" s="301"/>
      <c r="AV18" s="367"/>
      <c r="AW18" s="368"/>
      <c r="AX18" s="369"/>
      <c r="AY18" s="370"/>
      <c r="AZ18" s="370"/>
      <c r="BA18" s="371"/>
      <c r="BB18" s="372"/>
      <c r="BC18" s="373"/>
      <c r="BD18" s="373"/>
      <c r="BE18" s="374"/>
      <c r="BF18" s="22"/>
    </row>
    <row r="19" spans="1:58" s="17" customFormat="1">
      <c r="A19" s="404" t="str">
        <f>IF(B19&lt;&gt;"",MAX(A$9:A18)+1,"")</f>
        <v/>
      </c>
      <c r="B19" s="211"/>
      <c r="C19" s="211"/>
      <c r="D19" s="1059"/>
      <c r="E19" s="343"/>
      <c r="F19" s="226"/>
      <c r="G19" s="212"/>
      <c r="H19" s="124" t="str">
        <f t="shared" si="10"/>
        <v/>
      </c>
      <c r="I19" s="261"/>
      <c r="J19" s="261"/>
      <c r="K19" s="262"/>
      <c r="L19" s="263"/>
      <c r="M19" s="261"/>
      <c r="N19" s="262"/>
      <c r="O19" s="263"/>
      <c r="P19" s="261"/>
      <c r="Q19" s="262"/>
      <c r="R19" s="263"/>
      <c r="S19" s="261"/>
      <c r="T19" s="262"/>
      <c r="U19" s="263"/>
      <c r="V19" s="261"/>
      <c r="W19" s="261"/>
      <c r="X19" s="264"/>
      <c r="Y19" s="265"/>
      <c r="Z19" s="266"/>
      <c r="AA19" s="267"/>
      <c r="AB19" s="268"/>
      <c r="AC19" s="269"/>
      <c r="AD19" s="270"/>
      <c r="AE19" s="268"/>
      <c r="AF19" s="269"/>
      <c r="AG19" s="270"/>
      <c r="AH19" s="271"/>
      <c r="AI19" s="272"/>
      <c r="AJ19" s="269"/>
      <c r="AK19" s="14" t="str">
        <f t="shared" si="11"/>
        <v/>
      </c>
      <c r="AL19" s="261"/>
      <c r="AM19" s="261"/>
      <c r="AN19" s="262"/>
      <c r="AO19" s="263"/>
      <c r="AP19" s="261"/>
      <c r="AQ19" s="262"/>
      <c r="AR19" s="263"/>
      <c r="AS19" s="261"/>
      <c r="AT19" s="262"/>
      <c r="AU19" s="263"/>
      <c r="AV19" s="343"/>
      <c r="AW19" s="344"/>
      <c r="AX19" s="345"/>
      <c r="AY19" s="346"/>
      <c r="AZ19" s="346"/>
      <c r="BA19" s="347"/>
      <c r="BB19" s="348"/>
      <c r="BC19" s="349"/>
      <c r="BD19" s="349"/>
      <c r="BE19" s="350"/>
      <c r="BF19" s="21"/>
    </row>
    <row r="20" spans="1:58" s="36" customFormat="1">
      <c r="A20" s="402" t="str">
        <f>IF(B20&lt;&gt;"",MAX(A$9:A19)+1,"")</f>
        <v/>
      </c>
      <c r="B20" s="213"/>
      <c r="C20" s="213"/>
      <c r="D20" s="1060"/>
      <c r="E20" s="804"/>
      <c r="F20" s="227"/>
      <c r="G20" s="215"/>
      <c r="H20" s="125" t="str">
        <f t="shared" si="10"/>
        <v/>
      </c>
      <c r="I20" s="274"/>
      <c r="J20" s="274"/>
      <c r="K20" s="275"/>
      <c r="L20" s="276"/>
      <c r="M20" s="274"/>
      <c r="N20" s="275"/>
      <c r="O20" s="276"/>
      <c r="P20" s="274"/>
      <c r="Q20" s="275"/>
      <c r="R20" s="276"/>
      <c r="S20" s="274"/>
      <c r="T20" s="275"/>
      <c r="U20" s="276"/>
      <c r="V20" s="274"/>
      <c r="W20" s="274"/>
      <c r="X20" s="277"/>
      <c r="Y20" s="278"/>
      <c r="Z20" s="279"/>
      <c r="AA20" s="280"/>
      <c r="AB20" s="281"/>
      <c r="AC20" s="282"/>
      <c r="AD20" s="283"/>
      <c r="AE20" s="281"/>
      <c r="AF20" s="282"/>
      <c r="AG20" s="283"/>
      <c r="AH20" s="284"/>
      <c r="AI20" s="285"/>
      <c r="AJ20" s="282"/>
      <c r="AK20" s="35" t="str">
        <f t="shared" si="11"/>
        <v/>
      </c>
      <c r="AL20" s="274"/>
      <c r="AM20" s="274"/>
      <c r="AN20" s="275"/>
      <c r="AO20" s="276"/>
      <c r="AP20" s="274"/>
      <c r="AQ20" s="275"/>
      <c r="AR20" s="276"/>
      <c r="AS20" s="274"/>
      <c r="AT20" s="275"/>
      <c r="AU20" s="276"/>
      <c r="AV20" s="351"/>
      <c r="AW20" s="383"/>
      <c r="AX20" s="353"/>
      <c r="AY20" s="354"/>
      <c r="AZ20" s="354"/>
      <c r="BA20" s="355"/>
      <c r="BB20" s="356"/>
      <c r="BC20" s="357"/>
      <c r="BD20" s="357"/>
      <c r="BE20" s="358"/>
      <c r="BF20" s="37"/>
    </row>
    <row r="21" spans="1:58" s="34" customFormat="1">
      <c r="A21" s="403" t="str">
        <f>IF(B21&lt;&gt;"",MAX(A$9:A20)+1,"")</f>
        <v/>
      </c>
      <c r="B21" s="205"/>
      <c r="C21" s="205"/>
      <c r="D21" s="1057"/>
      <c r="E21" s="359"/>
      <c r="F21" s="228"/>
      <c r="G21" s="217"/>
      <c r="H21" s="126" t="str">
        <f t="shared" si="10"/>
        <v/>
      </c>
      <c r="I21" s="287"/>
      <c r="J21" s="287"/>
      <c r="K21" s="288"/>
      <c r="L21" s="289"/>
      <c r="M21" s="287"/>
      <c r="N21" s="288"/>
      <c r="O21" s="289"/>
      <c r="P21" s="287"/>
      <c r="Q21" s="288"/>
      <c r="R21" s="289"/>
      <c r="S21" s="287"/>
      <c r="T21" s="288"/>
      <c r="U21" s="289"/>
      <c r="V21" s="287"/>
      <c r="W21" s="287"/>
      <c r="X21" s="290"/>
      <c r="Y21" s="291"/>
      <c r="Z21" s="292"/>
      <c r="AA21" s="293"/>
      <c r="AB21" s="294"/>
      <c r="AC21" s="295"/>
      <c r="AD21" s="296"/>
      <c r="AE21" s="294"/>
      <c r="AF21" s="295"/>
      <c r="AG21" s="296"/>
      <c r="AH21" s="297"/>
      <c r="AI21" s="298"/>
      <c r="AJ21" s="295"/>
      <c r="AK21" s="32" t="str">
        <f t="shared" si="11"/>
        <v/>
      </c>
      <c r="AL21" s="287"/>
      <c r="AM21" s="287"/>
      <c r="AN21" s="288"/>
      <c r="AO21" s="289"/>
      <c r="AP21" s="287"/>
      <c r="AQ21" s="288"/>
      <c r="AR21" s="289"/>
      <c r="AS21" s="287"/>
      <c r="AT21" s="288"/>
      <c r="AU21" s="289"/>
      <c r="AV21" s="359"/>
      <c r="AW21" s="360"/>
      <c r="AX21" s="361"/>
      <c r="AY21" s="362"/>
      <c r="AZ21" s="362"/>
      <c r="BA21" s="363"/>
      <c r="BB21" s="364"/>
      <c r="BC21" s="365"/>
      <c r="BD21" s="365"/>
      <c r="BE21" s="366"/>
      <c r="BF21" s="33"/>
    </row>
    <row r="22" spans="1:58" s="18" customFormat="1">
      <c r="A22" s="404" t="str">
        <f>IF(B22&lt;&gt;"",MAX(A$9:A21)+1,"")</f>
        <v/>
      </c>
      <c r="B22" s="218"/>
      <c r="C22" s="218"/>
      <c r="D22" s="1061"/>
      <c r="E22" s="367"/>
      <c r="F22" s="219"/>
      <c r="G22" s="225"/>
      <c r="H22" s="124" t="str">
        <f t="shared" si="10"/>
        <v/>
      </c>
      <c r="I22" s="299"/>
      <c r="J22" s="299"/>
      <c r="K22" s="300"/>
      <c r="L22" s="301"/>
      <c r="M22" s="299"/>
      <c r="N22" s="300"/>
      <c r="O22" s="301"/>
      <c r="P22" s="299"/>
      <c r="Q22" s="300"/>
      <c r="R22" s="301"/>
      <c r="S22" s="299"/>
      <c r="T22" s="300"/>
      <c r="U22" s="301"/>
      <c r="V22" s="299"/>
      <c r="W22" s="299"/>
      <c r="X22" s="323"/>
      <c r="Y22" s="324"/>
      <c r="Z22" s="304"/>
      <c r="AA22" s="305"/>
      <c r="AB22" s="306"/>
      <c r="AC22" s="307"/>
      <c r="AD22" s="308"/>
      <c r="AE22" s="306"/>
      <c r="AF22" s="307"/>
      <c r="AG22" s="308"/>
      <c r="AH22" s="309"/>
      <c r="AI22" s="310"/>
      <c r="AJ22" s="307"/>
      <c r="AK22" s="14" t="str">
        <f t="shared" si="11"/>
        <v/>
      </c>
      <c r="AL22" s="299"/>
      <c r="AM22" s="299"/>
      <c r="AN22" s="300"/>
      <c r="AO22" s="301"/>
      <c r="AP22" s="299"/>
      <c r="AQ22" s="300"/>
      <c r="AR22" s="301"/>
      <c r="AS22" s="299"/>
      <c r="AT22" s="300"/>
      <c r="AU22" s="301"/>
      <c r="AV22" s="367"/>
      <c r="AW22" s="368"/>
      <c r="AX22" s="369"/>
      <c r="AY22" s="370"/>
      <c r="AZ22" s="370"/>
      <c r="BA22" s="371"/>
      <c r="BB22" s="372"/>
      <c r="BC22" s="373"/>
      <c r="BD22" s="373"/>
      <c r="BE22" s="374"/>
      <c r="BF22" s="22"/>
    </row>
    <row r="23" spans="1:58" s="17" customFormat="1">
      <c r="A23" s="404" t="str">
        <f>IF(B23&lt;&gt;"",MAX(A$9:A22)+1,"")</f>
        <v/>
      </c>
      <c r="B23" s="211"/>
      <c r="C23" s="211"/>
      <c r="D23" s="1059"/>
      <c r="E23" s="805"/>
      <c r="F23" s="229"/>
      <c r="G23" s="212"/>
      <c r="H23" s="124" t="str">
        <f t="shared" si="10"/>
        <v/>
      </c>
      <c r="I23" s="261"/>
      <c r="J23" s="261"/>
      <c r="K23" s="262"/>
      <c r="L23" s="263"/>
      <c r="M23" s="261"/>
      <c r="N23" s="262"/>
      <c r="O23" s="263"/>
      <c r="P23" s="261"/>
      <c r="Q23" s="262"/>
      <c r="R23" s="263"/>
      <c r="S23" s="261"/>
      <c r="T23" s="262"/>
      <c r="U23" s="263"/>
      <c r="V23" s="261"/>
      <c r="W23" s="261"/>
      <c r="X23" s="264"/>
      <c r="Y23" s="265"/>
      <c r="Z23" s="266"/>
      <c r="AA23" s="267"/>
      <c r="AB23" s="268"/>
      <c r="AC23" s="269"/>
      <c r="AD23" s="270"/>
      <c r="AE23" s="268"/>
      <c r="AF23" s="269"/>
      <c r="AG23" s="270"/>
      <c r="AH23" s="271"/>
      <c r="AI23" s="272"/>
      <c r="AJ23" s="269"/>
      <c r="AK23" s="14" t="str">
        <f t="shared" si="11"/>
        <v/>
      </c>
      <c r="AL23" s="261"/>
      <c r="AM23" s="261"/>
      <c r="AN23" s="262"/>
      <c r="AO23" s="263"/>
      <c r="AP23" s="261"/>
      <c r="AQ23" s="262"/>
      <c r="AR23" s="263"/>
      <c r="AS23" s="261"/>
      <c r="AT23" s="262"/>
      <c r="AU23" s="263"/>
      <c r="AV23" s="343"/>
      <c r="AW23" s="344"/>
      <c r="AX23" s="345"/>
      <c r="AY23" s="346"/>
      <c r="AZ23" s="346"/>
      <c r="BA23" s="347"/>
      <c r="BB23" s="348"/>
      <c r="BC23" s="349"/>
      <c r="BD23" s="349"/>
      <c r="BE23" s="350"/>
      <c r="BF23" s="21"/>
    </row>
    <row r="24" spans="1:58" s="36" customFormat="1">
      <c r="A24" s="402" t="str">
        <f>IF(B24&lt;&gt;"",MAX(A$9:A23)+1,"")</f>
        <v/>
      </c>
      <c r="B24" s="213"/>
      <c r="C24" s="213"/>
      <c r="D24" s="1060"/>
      <c r="E24" s="351"/>
      <c r="F24" s="230"/>
      <c r="G24" s="215"/>
      <c r="H24" s="125" t="str">
        <f t="shared" si="10"/>
        <v/>
      </c>
      <c r="I24" s="274"/>
      <c r="J24" s="274"/>
      <c r="K24" s="275"/>
      <c r="L24" s="276"/>
      <c r="M24" s="274"/>
      <c r="N24" s="275"/>
      <c r="O24" s="276"/>
      <c r="P24" s="274"/>
      <c r="Q24" s="275"/>
      <c r="R24" s="276"/>
      <c r="S24" s="274"/>
      <c r="T24" s="275"/>
      <c r="U24" s="276"/>
      <c r="V24" s="274"/>
      <c r="W24" s="274"/>
      <c r="X24" s="277"/>
      <c r="Y24" s="278"/>
      <c r="Z24" s="279"/>
      <c r="AA24" s="280"/>
      <c r="AB24" s="281"/>
      <c r="AC24" s="282"/>
      <c r="AD24" s="283"/>
      <c r="AE24" s="281"/>
      <c r="AF24" s="282"/>
      <c r="AG24" s="283"/>
      <c r="AH24" s="284"/>
      <c r="AI24" s="285"/>
      <c r="AJ24" s="282"/>
      <c r="AK24" s="35" t="str">
        <f t="shared" si="11"/>
        <v/>
      </c>
      <c r="AL24" s="274"/>
      <c r="AM24" s="274"/>
      <c r="AN24" s="275"/>
      <c r="AO24" s="276"/>
      <c r="AP24" s="274"/>
      <c r="AQ24" s="275"/>
      <c r="AR24" s="276"/>
      <c r="AS24" s="274"/>
      <c r="AT24" s="275"/>
      <c r="AU24" s="276"/>
      <c r="AV24" s="351"/>
      <c r="AW24" s="383"/>
      <c r="AX24" s="353"/>
      <c r="AY24" s="354"/>
      <c r="AZ24" s="354"/>
      <c r="BA24" s="355"/>
      <c r="BB24" s="356"/>
      <c r="BC24" s="357"/>
      <c r="BD24" s="357"/>
      <c r="BE24" s="358"/>
      <c r="BF24" s="37"/>
    </row>
    <row r="25" spans="1:58" s="34" customFormat="1">
      <c r="A25" s="403" t="str">
        <f>IF(B25&lt;&gt;"",MAX(A$9:A24)+1,"")</f>
        <v/>
      </c>
      <c r="B25" s="205"/>
      <c r="C25" s="205"/>
      <c r="D25" s="1057"/>
      <c r="E25" s="359"/>
      <c r="F25" s="228"/>
      <c r="G25" s="217"/>
      <c r="H25" s="126" t="str">
        <f t="shared" si="10"/>
        <v/>
      </c>
      <c r="I25" s="287"/>
      <c r="J25" s="287"/>
      <c r="K25" s="288"/>
      <c r="L25" s="289"/>
      <c r="M25" s="287"/>
      <c r="N25" s="288"/>
      <c r="O25" s="289"/>
      <c r="P25" s="287"/>
      <c r="Q25" s="288"/>
      <c r="R25" s="289"/>
      <c r="S25" s="287"/>
      <c r="T25" s="288"/>
      <c r="U25" s="289"/>
      <c r="V25" s="287"/>
      <c r="W25" s="287"/>
      <c r="X25" s="290"/>
      <c r="Y25" s="291"/>
      <c r="Z25" s="292"/>
      <c r="AA25" s="293"/>
      <c r="AB25" s="294"/>
      <c r="AC25" s="295"/>
      <c r="AD25" s="296"/>
      <c r="AE25" s="294"/>
      <c r="AF25" s="295"/>
      <c r="AG25" s="296"/>
      <c r="AH25" s="297"/>
      <c r="AI25" s="298"/>
      <c r="AJ25" s="295"/>
      <c r="AK25" s="32" t="str">
        <f t="shared" si="11"/>
        <v/>
      </c>
      <c r="AL25" s="287"/>
      <c r="AM25" s="287"/>
      <c r="AN25" s="288"/>
      <c r="AO25" s="289"/>
      <c r="AP25" s="287"/>
      <c r="AQ25" s="288"/>
      <c r="AR25" s="289"/>
      <c r="AS25" s="287"/>
      <c r="AT25" s="288"/>
      <c r="AU25" s="289"/>
      <c r="AV25" s="359"/>
      <c r="AW25" s="360"/>
      <c r="AX25" s="361"/>
      <c r="AY25" s="362"/>
      <c r="AZ25" s="362"/>
      <c r="BA25" s="363"/>
      <c r="BB25" s="364"/>
      <c r="BC25" s="365"/>
      <c r="BD25" s="365"/>
      <c r="BE25" s="366"/>
      <c r="BF25" s="33"/>
    </row>
    <row r="26" spans="1:58" s="18" customFormat="1">
      <c r="A26" s="404" t="str">
        <f>IF(B26&lt;&gt;"",MAX(A$9:A25)+1,"")</f>
        <v/>
      </c>
      <c r="B26" s="218"/>
      <c r="C26" s="218"/>
      <c r="D26" s="1061"/>
      <c r="E26" s="367"/>
      <c r="F26" s="219"/>
      <c r="G26" s="225"/>
      <c r="H26" s="124" t="str">
        <f t="shared" si="10"/>
        <v/>
      </c>
      <c r="I26" s="299"/>
      <c r="J26" s="299"/>
      <c r="K26" s="300"/>
      <c r="L26" s="301"/>
      <c r="M26" s="299"/>
      <c r="N26" s="300"/>
      <c r="O26" s="301"/>
      <c r="P26" s="299"/>
      <c r="Q26" s="300"/>
      <c r="R26" s="301"/>
      <c r="S26" s="299"/>
      <c r="T26" s="300"/>
      <c r="U26" s="301"/>
      <c r="V26" s="299"/>
      <c r="W26" s="299"/>
      <c r="X26" s="323"/>
      <c r="Y26" s="324"/>
      <c r="Z26" s="304"/>
      <c r="AA26" s="305"/>
      <c r="AB26" s="306"/>
      <c r="AC26" s="307"/>
      <c r="AD26" s="308"/>
      <c r="AE26" s="306"/>
      <c r="AF26" s="307"/>
      <c r="AG26" s="308"/>
      <c r="AH26" s="309"/>
      <c r="AI26" s="310"/>
      <c r="AJ26" s="307"/>
      <c r="AK26" s="14" t="str">
        <f t="shared" si="11"/>
        <v/>
      </c>
      <c r="AL26" s="299"/>
      <c r="AM26" s="299"/>
      <c r="AN26" s="300"/>
      <c r="AO26" s="301"/>
      <c r="AP26" s="299"/>
      <c r="AQ26" s="300"/>
      <c r="AR26" s="301"/>
      <c r="AS26" s="299"/>
      <c r="AT26" s="300"/>
      <c r="AU26" s="301"/>
      <c r="AV26" s="367"/>
      <c r="AW26" s="368"/>
      <c r="AX26" s="369"/>
      <c r="AY26" s="370"/>
      <c r="AZ26" s="370"/>
      <c r="BA26" s="371"/>
      <c r="BB26" s="372"/>
      <c r="BC26" s="373"/>
      <c r="BD26" s="373"/>
      <c r="BE26" s="374"/>
      <c r="BF26" s="22"/>
    </row>
    <row r="27" spans="1:58" s="17" customFormat="1">
      <c r="A27" s="404" t="str">
        <f>IF(B27&lt;&gt;"",MAX(A$9:A26)+1,"")</f>
        <v/>
      </c>
      <c r="B27" s="211"/>
      <c r="C27" s="211"/>
      <c r="D27" s="1059"/>
      <c r="E27" s="805"/>
      <c r="F27" s="229"/>
      <c r="G27" s="212"/>
      <c r="H27" s="124" t="str">
        <f t="shared" si="10"/>
        <v/>
      </c>
      <c r="I27" s="261"/>
      <c r="J27" s="261"/>
      <c r="K27" s="262"/>
      <c r="L27" s="263"/>
      <c r="M27" s="261"/>
      <c r="N27" s="262"/>
      <c r="O27" s="263"/>
      <c r="P27" s="261"/>
      <c r="Q27" s="262"/>
      <c r="R27" s="263"/>
      <c r="S27" s="261"/>
      <c r="T27" s="262"/>
      <c r="U27" s="263"/>
      <c r="V27" s="261"/>
      <c r="W27" s="261"/>
      <c r="X27" s="264"/>
      <c r="Y27" s="265"/>
      <c r="Z27" s="266"/>
      <c r="AA27" s="267"/>
      <c r="AB27" s="268"/>
      <c r="AC27" s="269"/>
      <c r="AD27" s="270"/>
      <c r="AE27" s="268"/>
      <c r="AF27" s="269"/>
      <c r="AG27" s="270"/>
      <c r="AH27" s="271"/>
      <c r="AI27" s="272"/>
      <c r="AJ27" s="269"/>
      <c r="AK27" s="14" t="str">
        <f t="shared" si="11"/>
        <v/>
      </c>
      <c r="AL27" s="261"/>
      <c r="AM27" s="261"/>
      <c r="AN27" s="262"/>
      <c r="AO27" s="263"/>
      <c r="AP27" s="261"/>
      <c r="AQ27" s="262"/>
      <c r="AR27" s="263"/>
      <c r="AS27" s="261"/>
      <c r="AT27" s="262"/>
      <c r="AU27" s="263"/>
      <c r="AV27" s="343"/>
      <c r="AW27" s="344"/>
      <c r="AX27" s="345"/>
      <c r="AY27" s="346"/>
      <c r="AZ27" s="346"/>
      <c r="BA27" s="347"/>
      <c r="BB27" s="348"/>
      <c r="BC27" s="349"/>
      <c r="BD27" s="349"/>
      <c r="BE27" s="350"/>
      <c r="BF27" s="21"/>
    </row>
    <row r="28" spans="1:58" s="36" customFormat="1">
      <c r="A28" s="402" t="str">
        <f>IF(B28&lt;&gt;"",MAX(A$9:A27)+1,"")</f>
        <v/>
      </c>
      <c r="B28" s="213"/>
      <c r="C28" s="213"/>
      <c r="D28" s="1060"/>
      <c r="E28" s="351"/>
      <c r="F28" s="230"/>
      <c r="G28" s="215"/>
      <c r="H28" s="125" t="str">
        <f t="shared" si="10"/>
        <v/>
      </c>
      <c r="I28" s="274"/>
      <c r="J28" s="274"/>
      <c r="K28" s="275"/>
      <c r="L28" s="276"/>
      <c r="M28" s="274"/>
      <c r="N28" s="275"/>
      <c r="O28" s="276"/>
      <c r="P28" s="274"/>
      <c r="Q28" s="275"/>
      <c r="R28" s="276"/>
      <c r="S28" s="274"/>
      <c r="T28" s="275"/>
      <c r="U28" s="276"/>
      <c r="V28" s="274"/>
      <c r="W28" s="274"/>
      <c r="X28" s="277"/>
      <c r="Y28" s="278"/>
      <c r="Z28" s="279"/>
      <c r="AA28" s="280"/>
      <c r="AB28" s="281"/>
      <c r="AC28" s="282"/>
      <c r="AD28" s="283"/>
      <c r="AE28" s="281"/>
      <c r="AF28" s="282"/>
      <c r="AG28" s="283"/>
      <c r="AH28" s="284"/>
      <c r="AI28" s="285"/>
      <c r="AJ28" s="282"/>
      <c r="AK28" s="35" t="str">
        <f t="shared" si="11"/>
        <v/>
      </c>
      <c r="AL28" s="274"/>
      <c r="AM28" s="274"/>
      <c r="AN28" s="275"/>
      <c r="AO28" s="276"/>
      <c r="AP28" s="274"/>
      <c r="AQ28" s="275"/>
      <c r="AR28" s="276"/>
      <c r="AS28" s="274"/>
      <c r="AT28" s="275"/>
      <c r="AU28" s="276"/>
      <c r="AV28" s="351"/>
      <c r="AW28" s="383"/>
      <c r="AX28" s="353"/>
      <c r="AY28" s="354"/>
      <c r="AZ28" s="354"/>
      <c r="BA28" s="355"/>
      <c r="BB28" s="356"/>
      <c r="BC28" s="357"/>
      <c r="BD28" s="357"/>
      <c r="BE28" s="358"/>
      <c r="BF28" s="37"/>
    </row>
    <row r="29" spans="1:58" s="41" customFormat="1">
      <c r="A29" s="145"/>
      <c r="B29" s="146" t="s">
        <v>81</v>
      </c>
      <c r="C29" s="192">
        <f ca="1">NOW()</f>
        <v>45608.585522800924</v>
      </c>
      <c r="D29" s="147" t="s">
        <v>82</v>
      </c>
      <c r="E29" s="148"/>
      <c r="F29" s="1076"/>
      <c r="G29" s="149"/>
      <c r="H29" s="126" t="str">
        <f t="shared" si="10"/>
        <v/>
      </c>
      <c r="I29" s="150"/>
      <c r="J29" s="150"/>
      <c r="K29" s="151"/>
      <c r="L29" s="152"/>
      <c r="M29" s="150"/>
      <c r="N29" s="151"/>
      <c r="O29" s="152"/>
      <c r="P29" s="150"/>
      <c r="Q29" s="151"/>
      <c r="R29" s="152"/>
      <c r="S29" s="150"/>
      <c r="T29" s="151"/>
      <c r="U29" s="152"/>
      <c r="V29" s="150"/>
      <c r="W29" s="150"/>
      <c r="X29" s="153"/>
      <c r="Y29" s="154"/>
      <c r="Z29" s="166"/>
      <c r="AA29" s="167"/>
      <c r="AB29" s="168"/>
      <c r="AC29" s="169"/>
      <c r="AD29" s="170"/>
      <c r="AE29" s="168"/>
      <c r="AF29" s="169"/>
      <c r="AG29" s="170"/>
      <c r="AH29" s="171"/>
      <c r="AI29" s="172"/>
      <c r="AJ29" s="169"/>
      <c r="AK29" s="32" t="str">
        <f t="shared" ref="AK29" si="12">IF(AND($A29&lt;&gt;"",SUM(AL29:AU29)&gt;=0),SUM(AL29:AU29),"")</f>
        <v/>
      </c>
      <c r="AL29" s="161"/>
      <c r="AM29" s="161"/>
      <c r="AN29" s="162"/>
      <c r="AO29" s="163"/>
      <c r="AP29" s="161"/>
      <c r="AQ29" s="162"/>
      <c r="AR29" s="163"/>
      <c r="AS29" s="161"/>
      <c r="AT29" s="162"/>
      <c r="AU29" s="163"/>
      <c r="AV29" s="164"/>
      <c r="AW29" s="165"/>
      <c r="AX29" s="155"/>
      <c r="AY29" s="156"/>
      <c r="AZ29" s="156"/>
      <c r="BA29" s="157"/>
      <c r="BB29" s="158"/>
      <c r="BC29" s="159"/>
      <c r="BD29" s="159"/>
      <c r="BE29" s="160"/>
      <c r="BF29" s="40"/>
    </row>
    <row r="30" spans="1:58" ht="72" customHeight="1" thickBot="1">
      <c r="A30" s="23">
        <f>COUNT(A9:A29)</f>
        <v>2</v>
      </c>
      <c r="B30" s="1098" t="s">
        <v>83</v>
      </c>
      <c r="C30" s="1098"/>
      <c r="D30" s="405"/>
      <c r="E30" s="1077" t="s">
        <v>84</v>
      </c>
      <c r="F30" s="1078"/>
      <c r="G30" s="1079"/>
      <c r="H30" s="384" t="s">
        <v>85</v>
      </c>
      <c r="I30" s="385"/>
      <c r="J30" s="385"/>
      <c r="K30" s="386"/>
      <c r="L30" s="387"/>
      <c r="M30" s="387"/>
      <c r="N30" s="386"/>
      <c r="O30" s="387"/>
      <c r="P30" s="387"/>
      <c r="Q30" s="388"/>
      <c r="R30" s="387"/>
      <c r="S30" s="385"/>
      <c r="T30" s="388"/>
      <c r="U30" s="387"/>
      <c r="V30" s="385"/>
      <c r="W30" s="387"/>
      <c r="X30" s="389"/>
      <c r="Y30" s="390"/>
      <c r="Z30" s="391"/>
      <c r="AA30" s="508"/>
      <c r="AB30" s="509"/>
      <c r="AC30" s="510"/>
      <c r="AD30" s="511"/>
      <c r="AE30" s="509"/>
      <c r="AF30" s="510"/>
      <c r="AG30" s="511"/>
      <c r="AH30" s="512"/>
      <c r="AI30" s="513"/>
      <c r="AJ30" s="510"/>
      <c r="AK30" s="392"/>
      <c r="AL30" s="509"/>
      <c r="AM30" s="505"/>
      <c r="AN30" s="506"/>
      <c r="AO30" s="507"/>
      <c r="AP30" s="505"/>
      <c r="AQ30" s="511"/>
      <c r="AR30" s="507"/>
      <c r="AS30" s="505"/>
      <c r="AT30" s="506"/>
      <c r="AU30" s="507"/>
      <c r="AV30" s="393"/>
      <c r="AW30" s="394"/>
      <c r="AX30" s="395"/>
      <c r="AY30" s="396"/>
      <c r="AZ30" s="397"/>
      <c r="BA30" s="398"/>
      <c r="BB30" s="396"/>
      <c r="BC30" s="396"/>
      <c r="BD30" s="396"/>
      <c r="BE30" s="399" t="s">
        <v>86</v>
      </c>
    </row>
    <row r="31" spans="1:58" s="25" customFormat="1" ht="12.75" customHeight="1">
      <c r="A31" s="503" t="s">
        <v>87</v>
      </c>
      <c r="B31" s="503"/>
      <c r="C31" s="501"/>
      <c r="D31" s="502">
        <f>D$1/1000*HilfeListe!S16</f>
        <v>18.216090000000001</v>
      </c>
      <c r="E31" s="1080" t="str">
        <f>HYPERLINK("mailto:"&amp;VLOOKUP("Schatzmeisterin",HilfeListe!B15:C36,2,0)&amp;";gs@dav-altdorf.de"&amp;"?Subject=Meldung Teilnehmende " &amp;C2&amp;": "&amp;C3&amp;
"&amp;cc="&amp;VLOOKUP(C1,HilfeListe!B15:C36,2,0)&amp;";"&amp;VLOOKUP("Naturschutz",HilfeListe!B15:C36,2,0)&amp;
"&amp;body=" &amp; "Hallo DAV-Team, %0A%0Asiehe DAV-Cloud %0A%0A" &amp; "LG "  &amp; C1 &amp; "/"&amp; B9 &amp;" " &amp; C9,"Email an Sektion: Meldung Teilnehmende ")</f>
        <v xml:space="preserve">Email an Sektion: Meldung Teilnehmende </v>
      </c>
      <c r="F31" s="1327"/>
      <c r="G31" s="1327"/>
      <c r="H31" s="127"/>
      <c r="I31" s="111">
        <f>IF(SUM(I$9:I29)&gt;0,I$7,-0.000001)</f>
        <v>-9.9999999999999995E-7</v>
      </c>
      <c r="J31" s="111">
        <f>IF(SUM(J$9:J29)&gt;0,J$7,-0.000001)</f>
        <v>5</v>
      </c>
      <c r="K31" s="112">
        <f>IF(SUM(K$9:K29)&gt;0,K$7,-0.000001)</f>
        <v>-9.9999999999999995E-7</v>
      </c>
      <c r="L31" s="111">
        <f>IF(SUM(L$9:L29)&gt;0,L$7,-0.000001)</f>
        <v>-9.9999999999999995E-7</v>
      </c>
      <c r="M31" s="111">
        <f>IF(SUM(M$9:M29)&gt;0,M$7,-0.000001)</f>
        <v>-9.9999999999999995E-7</v>
      </c>
      <c r="N31" s="112">
        <f>IF(SUM(N$9:N29)&gt;0,N$7,-0.000001)</f>
        <v>-9.9999999999999995E-7</v>
      </c>
      <c r="O31" s="111">
        <f>IF(SUM(O$9:O29)&gt;0,O$7,-0.000001)</f>
        <v>-9.9999999999999995E-7</v>
      </c>
      <c r="P31" s="111">
        <f>IF(SUM(P$9:P29)&gt;0,P$7,-0.000001)</f>
        <v>-9.9999999999999995E-7</v>
      </c>
      <c r="Q31" s="112">
        <f>IF(SUM(Q$9:Q29)&gt;0,Q$7,-0.000001)</f>
        <v>-9.9999999999999995E-7</v>
      </c>
      <c r="R31" s="111">
        <f>IF(SUM(R$9:R29)&gt;0,R$7,-0.000001)</f>
        <v>-9.9999999999999995E-7</v>
      </c>
      <c r="S31" s="111">
        <f>IF(SUM(S$9:S29)&gt;0,S$7,-0.000001)</f>
        <v>-9.9999999999999995E-7</v>
      </c>
      <c r="T31" s="112">
        <f>IF(SUM(T$9:T29)&gt;0,T$7,-0.000001)</f>
        <v>-9.9999999999999995E-7</v>
      </c>
      <c r="U31" s="111">
        <f>IF(SUM(U$9:U29)&gt;0,U$7,-0.000001)</f>
        <v>-9.9999999999999995E-7</v>
      </c>
      <c r="V31" s="111">
        <f>IF(SUM(V$9:V29)&gt;0,V$7,-0.000001)</f>
        <v>-9.9999999999999995E-7</v>
      </c>
      <c r="W31" s="111">
        <f>IF(SUM(W$9:W29)&gt;0,W$7,-0.000001)</f>
        <v>-9.9999999999999995E-7</v>
      </c>
      <c r="X31" s="113"/>
      <c r="Y31" s="129"/>
      <c r="Z31" s="143"/>
      <c r="AA31" s="27">
        <f>COUNTIF(AA9:AA29,"ü")</f>
        <v>0</v>
      </c>
      <c r="AB31" s="27">
        <f>COUNTIF(AB9:AB29,"ü")</f>
        <v>2</v>
      </c>
      <c r="AC31" s="27">
        <f t="shared" ref="AC31:AJ31" si="13">COUNTIF(AC9:AC29,"ü")</f>
        <v>2</v>
      </c>
      <c r="AD31" s="27">
        <f t="shared" si="13"/>
        <v>0</v>
      </c>
      <c r="AE31" s="27">
        <f t="shared" si="13"/>
        <v>0</v>
      </c>
      <c r="AF31" s="27">
        <f t="shared" si="13"/>
        <v>0</v>
      </c>
      <c r="AG31" s="27">
        <f t="shared" si="13"/>
        <v>0</v>
      </c>
      <c r="AH31" s="27">
        <f t="shared" si="13"/>
        <v>0</v>
      </c>
      <c r="AI31" s="27">
        <f t="shared" si="13"/>
        <v>0</v>
      </c>
      <c r="AJ31" s="27">
        <f t="shared" si="13"/>
        <v>0</v>
      </c>
      <c r="AK31" s="26"/>
      <c r="AL31" s="28"/>
      <c r="AM31" s="29"/>
      <c r="AN31" s="30"/>
      <c r="AO31" s="28"/>
      <c r="AP31" s="29"/>
      <c r="AQ31" s="30"/>
      <c r="AR31" s="28"/>
      <c r="AS31" s="29"/>
      <c r="AT31" s="30"/>
      <c r="AU31" s="28"/>
      <c r="AV31" s="29"/>
      <c r="AW31" s="31"/>
      <c r="AX31" s="139"/>
      <c r="AY31" s="114"/>
      <c r="AZ31" s="115"/>
      <c r="BA31" s="116"/>
      <c r="BB31" s="114"/>
      <c r="BC31" s="114"/>
      <c r="BD31" s="114"/>
      <c r="BE31" s="117"/>
    </row>
    <row r="32" spans="1:58" s="411" customFormat="1" ht="12.75" customHeight="1">
      <c r="D32" s="502">
        <f>D$1/1000*HilfeListe!S17</f>
        <v>28.33614</v>
      </c>
      <c r="H32" s="127"/>
      <c r="I32" s="498" t="str">
        <f t="shared" ref="I32" si="14">MID(I3,1,IF(ISERROR(FIND("-",I3)),99,FIND("-",I3)-1))</f>
        <v>Regio</v>
      </c>
      <c r="J32" s="498" t="str">
        <f>MID(J3,1,IF(ISERROR(FIND("-",J3)),99,FIND("-",J3)-1))</f>
        <v>Van</v>
      </c>
      <c r="K32" s="499" t="str">
        <f t="shared" ref="K32:W32" si="15">MID(K3,1,IF(ISERROR(FIND("-",K3)),99,FIND("-",K3)-1))</f>
        <v>PKW</v>
      </c>
      <c r="L32" s="498" t="str">
        <f t="shared" si="15"/>
        <v>Strom</v>
      </c>
      <c r="M32" s="498" t="str">
        <f t="shared" si="15"/>
        <v>ohne</v>
      </c>
      <c r="N32" s="499" t="str">
        <f t="shared" si="15"/>
        <v>PKW</v>
      </c>
      <c r="O32" s="498" t="str">
        <f t="shared" si="15"/>
        <v>PKW</v>
      </c>
      <c r="P32" s="498" t="str">
        <f t="shared" si="15"/>
        <v>PKW</v>
      </c>
      <c r="Q32" s="499" t="str">
        <f t="shared" si="15"/>
        <v>PKW</v>
      </c>
      <c r="R32" s="498" t="str">
        <f t="shared" si="15"/>
        <v>PKW</v>
      </c>
      <c r="S32" s="498" t="str">
        <f t="shared" si="15"/>
        <v>PKW</v>
      </c>
      <c r="T32" s="499" t="str">
        <f t="shared" si="15"/>
        <v>PKW</v>
      </c>
      <c r="U32" s="498" t="str">
        <f t="shared" si="15"/>
        <v>PKW</v>
      </c>
      <c r="V32" s="419" t="str">
        <f t="shared" si="15"/>
        <v>Sonst</v>
      </c>
      <c r="W32" s="1072" t="str">
        <f t="shared" si="15"/>
        <v>ohne</v>
      </c>
      <c r="X32" s="113"/>
      <c r="Y32" s="129"/>
      <c r="Z32" s="412"/>
      <c r="AA32" s="413"/>
      <c r="AB32" s="414"/>
      <c r="AC32" s="415"/>
      <c r="AD32" s="416"/>
      <c r="AE32" s="413"/>
      <c r="AF32" s="415"/>
      <c r="AG32" s="416"/>
      <c r="AI32" s="414"/>
      <c r="AJ32" s="415"/>
      <c r="AK32" s="417"/>
      <c r="AL32" s="413"/>
      <c r="AM32" s="414"/>
      <c r="AN32" s="416"/>
      <c r="AO32" s="413"/>
      <c r="AP32" s="414"/>
      <c r="AQ32" s="416"/>
      <c r="AR32" s="413"/>
      <c r="AS32" s="414"/>
      <c r="AT32" s="416"/>
      <c r="AU32" s="413"/>
      <c r="AV32" s="414"/>
      <c r="AW32" s="418"/>
      <c r="AX32" s="139"/>
      <c r="AY32" s="114"/>
      <c r="AZ32" s="115"/>
      <c r="BA32" s="116"/>
      <c r="BB32" s="114"/>
      <c r="BC32" s="114"/>
      <c r="BD32" s="114"/>
      <c r="BE32" s="117"/>
    </row>
    <row r="33" spans="4:4" ht="12.75" customHeight="1">
      <c r="D33" s="502">
        <f>D$1/1000*HilfeListe!S18</f>
        <v>38.456189999999999</v>
      </c>
    </row>
  </sheetData>
  <mergeCells count="22">
    <mergeCell ref="AK1:AW1"/>
    <mergeCell ref="AL2:AU2"/>
    <mergeCell ref="AL3:AU3"/>
    <mergeCell ref="AY4:AY5"/>
    <mergeCell ref="AX4:AX5"/>
    <mergeCell ref="AX1:BE1"/>
    <mergeCell ref="BD4:BD5"/>
    <mergeCell ref="BC4:BC5"/>
    <mergeCell ref="BB4:BB5"/>
    <mergeCell ref="BA4:BA5"/>
    <mergeCell ref="AZ4:AZ5"/>
    <mergeCell ref="E30:G30"/>
    <mergeCell ref="E31:G31"/>
    <mergeCell ref="A2:B2"/>
    <mergeCell ref="Z1:AJ1"/>
    <mergeCell ref="A1:B1"/>
    <mergeCell ref="H1:Y1"/>
    <mergeCell ref="X6:Y6"/>
    <mergeCell ref="X7:Y7"/>
    <mergeCell ref="B6:C6"/>
    <mergeCell ref="F1:G7"/>
    <mergeCell ref="B30:C30"/>
  </mergeCells>
  <conditionalFormatting sqref="A8">
    <cfRule type="expression" dxfId="80" priority="178">
      <formula>$A$8&gt;$A$7</formula>
    </cfRule>
  </conditionalFormatting>
  <conditionalFormatting sqref="A30">
    <cfRule type="expression" dxfId="79" priority="177">
      <formula>$A$8&gt;$A$7</formula>
    </cfRule>
  </conditionalFormatting>
  <conditionalFormatting sqref="B9:E28">
    <cfRule type="expression" dxfId="78" priority="7">
      <formula>AND($A9&lt;&gt;"",B9="")</formula>
    </cfRule>
  </conditionalFormatting>
  <conditionalFormatting sqref="D1">
    <cfRule type="cellIs" dxfId="77" priority="4" operator="between">
      <formula>500</formula>
      <formula>1000</formula>
    </cfRule>
    <cfRule type="cellIs" dxfId="76" priority="5" operator="between">
      <formula>1000</formula>
      <formula>2000</formula>
    </cfRule>
    <cfRule type="cellIs" dxfId="75" priority="6" operator="greaterThan">
      <formula>2000</formula>
    </cfRule>
  </conditionalFormatting>
  <conditionalFormatting sqref="D2">
    <cfRule type="cellIs" dxfId="74" priority="72" operator="greaterThan">
      <formula>36</formula>
    </cfRule>
    <cfRule type="cellIs" dxfId="73" priority="71" operator="between">
      <formula>27</formula>
      <formula>36</formula>
    </cfRule>
    <cfRule type="cellIs" dxfId="72" priority="70" operator="between">
      <formula>18</formula>
      <formula>27</formula>
    </cfRule>
    <cfRule type="cellIs" dxfId="71" priority="69" operator="lessThan">
      <formula>18</formula>
    </cfRule>
  </conditionalFormatting>
  <conditionalFormatting sqref="D3:D4">
    <cfRule type="expression" dxfId="70" priority="44">
      <formula>$A$8&gt;$A$7</formula>
    </cfRule>
  </conditionalFormatting>
  <conditionalFormatting sqref="H8">
    <cfRule type="notContainsBlanks" dxfId="69" priority="228">
      <formula>LEN(TRIM(H8))&gt;0</formula>
    </cfRule>
  </conditionalFormatting>
  <conditionalFormatting sqref="H9:H28">
    <cfRule type="cellIs" dxfId="68" priority="141" operator="between">
      <formula>2</formula>
      <formula>9</formula>
    </cfRule>
    <cfRule type="cellIs" dxfId="67" priority="140" operator="equal">
      <formula>0</formula>
    </cfRule>
  </conditionalFormatting>
  <conditionalFormatting sqref="H8:V8">
    <cfRule type="cellIs" dxfId="66" priority="208" operator="lessThan">
      <formula>0</formula>
    </cfRule>
    <cfRule type="cellIs" dxfId="65" priority="189" operator="greaterThan">
      <formula>0</formula>
    </cfRule>
  </conditionalFormatting>
  <conditionalFormatting sqref="I7:W7">
    <cfRule type="cellIs" dxfId="64" priority="60" operator="equal">
      <formula>I$31</formula>
    </cfRule>
  </conditionalFormatting>
  <conditionalFormatting sqref="I9:W28">
    <cfRule type="expression" dxfId="63" priority="229">
      <formula>AND($A9="",I9&lt;&gt;"")</formula>
    </cfRule>
  </conditionalFormatting>
  <conditionalFormatting sqref="I6:X6">
    <cfRule type="cellIs" dxfId="62" priority="20" operator="lessThanOrEqual">
      <formula>45</formula>
    </cfRule>
    <cfRule type="cellIs" dxfId="61" priority="21" operator="between">
      <formula>45</formula>
      <formula>67.5</formula>
    </cfRule>
    <cfRule type="cellIs" dxfId="60" priority="22" operator="between">
      <formula>67.5</formula>
      <formula>90</formula>
    </cfRule>
    <cfRule type="cellIs" dxfId="59" priority="23" operator="greaterThan">
      <formula>90</formula>
    </cfRule>
  </conditionalFormatting>
  <conditionalFormatting sqref="X7">
    <cfRule type="cellIs" dxfId="58" priority="19" operator="greaterThanOrEqual">
      <formula>0.75</formula>
    </cfRule>
    <cfRule type="cellIs" dxfId="57" priority="18" operator="between">
      <formula>0.66</formula>
      <formula>0.75</formula>
    </cfRule>
    <cfRule type="cellIs" dxfId="56" priority="17" operator="between">
      <formula>0.5</formula>
      <formula>0.66</formula>
    </cfRule>
    <cfRule type="cellIs" dxfId="55" priority="16" operator="lessThanOrEqual">
      <formula>0.5</formula>
    </cfRule>
  </conditionalFormatting>
  <conditionalFormatting sqref="Y3">
    <cfRule type="cellIs" dxfId="54" priority="15" operator="greaterThan">
      <formula>11.8</formula>
    </cfRule>
    <cfRule type="cellIs" dxfId="53" priority="14" operator="between">
      <formula>8.9</formula>
      <formula>11.8</formula>
    </cfRule>
    <cfRule type="cellIs" dxfId="52" priority="13" operator="between">
      <formula>5.9</formula>
      <formula>8.9</formula>
    </cfRule>
    <cfRule type="cellIs" dxfId="51" priority="12" operator="lessThan">
      <formula>5.9</formula>
    </cfRule>
  </conditionalFormatting>
  <conditionalFormatting sqref="AA3:AJ3">
    <cfRule type="expression" dxfId="50" priority="43">
      <formula>AND(AA$31&lt;&gt;0,AA$3="")</formula>
    </cfRule>
  </conditionalFormatting>
  <conditionalFormatting sqref="AA8:AJ8">
    <cfRule type="cellIs" dxfId="49" priority="97" operator="greaterThan">
      <formula>0</formula>
    </cfRule>
    <cfRule type="cellIs" dxfId="48" priority="98" operator="lessThan">
      <formula>0</formula>
    </cfRule>
  </conditionalFormatting>
  <conditionalFormatting sqref="AA9:AJ28">
    <cfRule type="expression" dxfId="47" priority="28">
      <formula>AND($A9="",AA9&lt;&gt;"")</formula>
    </cfRule>
    <cfRule type="expression" dxfId="46" priority="57">
      <formula>OR(AA9&lt;&gt;"",Z9&lt;&gt;"")</formula>
    </cfRule>
  </conditionalFormatting>
  <conditionalFormatting sqref="AA30:AJ31">
    <cfRule type="cellIs" dxfId="45" priority="38" operator="greaterThan">
      <formula>0</formula>
    </cfRule>
  </conditionalFormatting>
  <conditionalFormatting sqref="AB5:AJ7">
    <cfRule type="expression" dxfId="44" priority="49">
      <formula>OR(AB$7&gt;0,AA$7&gt;0)</formula>
    </cfRule>
  </conditionalFormatting>
  <conditionalFormatting sqref="AK8">
    <cfRule type="cellIs" dxfId="43" priority="199" operator="notEqual">
      <formula>0</formula>
    </cfRule>
  </conditionalFormatting>
  <conditionalFormatting sqref="AK9:AK28">
    <cfRule type="cellIs" dxfId="42" priority="2" operator="equal">
      <formula>0</formula>
    </cfRule>
    <cfRule type="cellIs" dxfId="41" priority="3" operator="between">
      <formula>2</formula>
      <formula>9</formula>
    </cfRule>
  </conditionalFormatting>
  <conditionalFormatting sqref="AK30">
    <cfRule type="cellIs" dxfId="40" priority="190" operator="greaterThan">
      <formula>0</formula>
    </cfRule>
  </conditionalFormatting>
  <conditionalFormatting sqref="AL7:AU7">
    <cfRule type="cellIs" dxfId="39" priority="59" operator="greaterThan">
      <formula>0</formula>
    </cfRule>
  </conditionalFormatting>
  <conditionalFormatting sqref="AL8:AU8">
    <cfRule type="cellIs" dxfId="38" priority="191" operator="greaterThan">
      <formula>0</formula>
    </cfRule>
    <cfRule type="cellIs" dxfId="37" priority="210" operator="lessThan">
      <formula>0</formula>
    </cfRule>
  </conditionalFormatting>
  <conditionalFormatting sqref="AL30:AU30 I30:W31">
    <cfRule type="cellIs" dxfId="36" priority="64" operator="greaterThan">
      <formula>0</formula>
    </cfRule>
  </conditionalFormatting>
  <conditionalFormatting sqref="AL9:AV28">
    <cfRule type="expression" dxfId="35" priority="37">
      <formula>AND($A9="",AL9&lt;&gt;"")</formula>
    </cfRule>
  </conditionalFormatting>
  <conditionalFormatting sqref="AW3">
    <cfRule type="cellIs" dxfId="34" priority="9" operator="between">
      <formula>12</formula>
      <formula>18</formula>
    </cfRule>
    <cfRule type="cellIs" dxfId="33" priority="11" operator="greaterThan">
      <formula>24</formula>
    </cfRule>
    <cfRule type="cellIs" dxfId="32" priority="10" operator="between">
      <formula>18</formula>
      <formula>24</formula>
    </cfRule>
    <cfRule type="cellIs" dxfId="31" priority="8" operator="lessThan">
      <formula>12</formula>
    </cfRule>
  </conditionalFormatting>
  <conditionalFormatting sqref="AW8">
    <cfRule type="cellIs" dxfId="30" priority="85" operator="greaterThan">
      <formula>0</formula>
    </cfRule>
  </conditionalFormatting>
  <conditionalFormatting sqref="AW21:AW24">
    <cfRule type="containsText" dxfId="29" priority="151" operator="containsText" text="vegan">
      <formula>NOT(ISERROR(SEARCH(("vegan"),(AW21))))</formula>
    </cfRule>
    <cfRule type="containsText" dxfId="28" priority="154" operator="containsText" text="fleisch">
      <formula>NOT(ISERROR(SEARCH(("fleisch"),(AW21))))</formula>
    </cfRule>
    <cfRule type="containsText" dxfId="27" priority="147" operator="containsText" text="vege">
      <formula>NOT(ISERROR(SEARCH(("vege"),(AW21))))</formula>
    </cfRule>
  </conditionalFormatting>
  <conditionalFormatting sqref="AW8:BD8">
    <cfRule type="cellIs" dxfId="26" priority="86" operator="lessThan">
      <formula>0</formula>
    </cfRule>
  </conditionalFormatting>
  <conditionalFormatting sqref="AX6:BD6">
    <cfRule type="cellIs" dxfId="25" priority="196" operator="lessThan">
      <formula>0</formula>
    </cfRule>
  </conditionalFormatting>
  <conditionalFormatting sqref="AX9:BD28">
    <cfRule type="cellIs" dxfId="24" priority="150" operator="lessThan">
      <formula>0</formula>
    </cfRule>
    <cfRule type="expression" dxfId="23" priority="115">
      <formula>AND($A9="",AX9&lt;&gt;"")</formula>
    </cfRule>
  </conditionalFormatting>
  <conditionalFormatting sqref="AV9:AV28">
    <cfRule type="expression" dxfId="22" priority="1">
      <formula>AND($A9&lt;&gt;"",AV9="",$D$4&gt;1)</formula>
    </cfRule>
  </conditionalFormatting>
  <dataValidations count="2">
    <dataValidation type="list" allowBlank="1" showInputMessage="1" showErrorMessage="1" promptTitle="Transportmittel" prompt="Abk. DAV-Erfassung" sqref="I3:V3" xr:uid="{D423F75D-9865-4CE1-8270-C04075F29B13}">
      <formula1>Transport</formula1>
    </dataValidation>
    <dataValidation type="list" allowBlank="1" showInputMessage="1" showErrorMessage="1" promptTitle="Länder" prompt="aus DAV Erfassung 9/2024" sqref="B5" xr:uid="{6557C2DC-4623-49C4-AD68-A107EFE7017D}">
      <formula1>Länder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Width="0" orientation="landscape" r:id="rId1"/>
  <colBreaks count="1" manualBreakCount="1">
    <brk id="25" max="29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Unterkunftstyp" prompt="Abk. DAV-Erfassung" xr:uid="{4F00096B-8FCD-4FF6-A04B-B2D5C5C59059}">
          <x14:formula1>
            <xm:f>HilfeListe!$L$16:$L$36</xm:f>
          </x14:formula1>
          <xm:sqref>AA3:AJ3</xm:sqref>
        </x14:dataValidation>
        <x14:dataValidation type="list" allowBlank="1" showInputMessage="1" showErrorMessage="1" xr:uid="{AEC1D8EC-485D-42C1-9922-F3310CC95F6C}">
          <x14:formula1>
            <xm:f>HilfeListe!$E$16:$E$27</xm:f>
          </x14:formula1>
          <xm:sqref>AV9:AV29</xm:sqref>
        </x14:dataValidation>
        <x14:dataValidation type="list" allowBlank="1" showInputMessage="1" showErrorMessage="1" promptTitle="SektionsGruppen " prompt="für DAV-Erfassung" xr:uid="{48244FEE-9D87-4C3F-BA70-30714A818329}">
          <x14:formula1>
            <xm:f>HilfeListe!$B$15:$B$36</xm:f>
          </x14:formula1>
          <xm:sqref>C1</xm:sqref>
        </x14:dataValidation>
        <x14:dataValidation type="list" allowBlank="1" showInputMessage="1" showErrorMessage="1" xr:uid="{489ED36D-DED4-4A29-BE64-A98013029D7A}">
          <x14:formula1>
            <xm:f>HilfeListe!$D$15:$D$27</xm:f>
          </x14:formula1>
          <xm:sqref>E9:E29</xm:sqref>
        </x14:dataValidation>
        <x14:dataValidation type="list" allowBlank="1" showInputMessage="1" showErrorMessage="1" promptTitle="Sportarten" prompt="aus DAV-Erfassung 5/2022" xr:uid="{5CBCC690-729B-4BFA-A913-668743C3167C}">
          <x14:formula1>
            <xm:f>HilfeListe!$H$15:$H$36</xm:f>
          </x14:formula1>
          <xm:sqref>B3</xm:sqref>
        </x14:dataValidation>
        <x14:dataValidation type="list" allowBlank="1" showInputMessage="1" showErrorMessage="1" xr:uid="{8A66FAD8-2FFE-491C-B287-996E5C2EE149}">
          <x14:formula1>
            <xm:f>HilfeListe!$M$16:$M$36</xm:f>
          </x14:formula1>
          <xm:sqref>AL3:AU3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8F4B-6320-434D-B1B0-D60329200D6E}">
  <sheetPr>
    <tabColor rgb="FF0070C0"/>
  </sheetPr>
  <dimension ref="A1:I1306"/>
  <sheetViews>
    <sheetView workbookViewId="0">
      <selection activeCell="G1" sqref="G1"/>
    </sheetView>
  </sheetViews>
  <sheetFormatPr defaultColWidth="11.42578125" defaultRowHeight="12.75" outlineLevelRow="1" outlineLevelCol="1"/>
  <cols>
    <col min="1" max="1" width="5.28515625" style="520" customWidth="1"/>
    <col min="2" max="2" width="34.7109375" style="520" customWidth="1"/>
    <col min="3" max="3" width="70.28515625" style="520" customWidth="1" outlineLevel="1"/>
    <col min="4" max="4" width="13.5703125" style="520" customWidth="1"/>
    <col min="5" max="5" width="11.85546875" style="520" customWidth="1"/>
    <col min="6" max="6" width="8" style="766" customWidth="1"/>
    <col min="7" max="7" width="22.7109375" style="767" customWidth="1"/>
    <col min="8" max="8" width="22.7109375" style="768" customWidth="1"/>
    <col min="9" max="9" width="22.7109375" style="769" customWidth="1"/>
  </cols>
  <sheetData>
    <row r="1" spans="1:9">
      <c r="B1" s="1114" t="s">
        <v>88</v>
      </c>
      <c r="C1" s="1328"/>
      <c r="D1" s="1328"/>
      <c r="E1" s="521"/>
      <c r="F1" s="522"/>
      <c r="G1" s="1021" t="str">
        <f>HYPERLINK("mailto:"&amp;VLOOKUP("Naturschutz",HilfeListe!B15:C36,2,0)&amp;"?Subject=DAV CO2-Erfassung " &amp;AnmeldeListe!C2&amp;": "&amp;AnmeldeListe!C3&amp;
"&amp;cc="&amp;VLOOKUP(AnmeldeListe!C1,HilfeListe!B15:C36,2,0)&amp;
"&amp;body=" &amp; "Hallo Klimaschutz-Team,%0A%0Adie CO2-Erfassung ist abgeschlossen: siehe DAV-Cloud %0A%0ALiebe Grüße " &amp; AnmeldeListe!C1 &amp; "/"&amp; AnmeldeListe!B9 &amp;" " &amp; AnmeldeListe!C9,"Email an Sektion: DAV CO2-Erfassung ")</f>
        <v xml:space="preserve">Email an Sektion: DAV CO2-Erfassung </v>
      </c>
      <c r="H1" s="1022"/>
      <c r="I1" s="523"/>
    </row>
    <row r="2" spans="1:9">
      <c r="A2" s="524" t="s">
        <v>89</v>
      </c>
      <c r="C2" s="525"/>
      <c r="D2" s="526" t="str">
        <f>[1]Start!C3</f>
        <v>Deutscher Alpenverein</v>
      </c>
      <c r="E2" s="527"/>
      <c r="F2" s="528"/>
      <c r="G2" s="529"/>
      <c r="H2" s="529"/>
      <c r="I2" s="529"/>
    </row>
    <row r="3" spans="1:9">
      <c r="A3" s="524"/>
      <c r="C3" s="525"/>
      <c r="D3" s="527"/>
      <c r="E3" s="527"/>
      <c r="F3" s="528"/>
      <c r="G3" s="530"/>
      <c r="H3" s="530"/>
      <c r="I3" s="530"/>
    </row>
    <row r="4" spans="1:9" ht="26.25" thickBot="1">
      <c r="A4" s="531"/>
      <c r="B4" s="531" t="str">
        <f>IF([1]Start!$D$14="DE","DATENPUNKT","DATA POINT")</f>
        <v>DATENPUNKT</v>
      </c>
      <c r="C4" s="531" t="str">
        <f>IF([1]Start!$D$14="DE","BESCHREIBUNG","DESCRIPTION")</f>
        <v>BESCHREIBUNG</v>
      </c>
      <c r="D4" s="532" t="s">
        <v>90</v>
      </c>
      <c r="E4" s="532" t="s">
        <v>91</v>
      </c>
      <c r="F4" s="533" t="s">
        <v>92</v>
      </c>
      <c r="G4" s="534" t="str">
        <f>IF(OR(G5="FEHLER",G20="FEHLER",G46="FEHLER",G52="FEHLER",G58="FEHLER",G68="FEHLER",G83="FEHLER",G88="FEHLER",G92="FEHLER"),"FEHLER","")</f>
        <v/>
      </c>
      <c r="H4" s="534" t="str">
        <f t="shared" ref="H4:I4" si="0">IF(OR(H5="FEHLER",H20="FEHLER",H46="FEHLER",H52="FEHLER",H58="FEHLER",H68="FEHLER",H83="FEHLER",H88="FEHLER",H92="FEHLER"),"FEHLER","")</f>
        <v/>
      </c>
      <c r="I4" s="534" t="str">
        <f t="shared" si="0"/>
        <v/>
      </c>
    </row>
    <row r="5" spans="1:9">
      <c r="A5" s="535" t="s">
        <v>93</v>
      </c>
      <c r="B5" s="535"/>
      <c r="C5" s="535"/>
      <c r="D5" s="536"/>
      <c r="E5" s="536"/>
      <c r="F5" s="537"/>
      <c r="G5" s="538" t="str">
        <f>IF(COUNTA(G6:G17,G19)=0,"LEER",IF(COUNTA(G6,G10,G14,G15,G16,G9,G17,G19,G11,G12,G13)=11,"OK","FEHLER"))</f>
        <v>OK</v>
      </c>
      <c r="H5" s="538" t="str">
        <f t="shared" ref="H5:I5" si="1">IF(COUNTA(H6:H17,H19)=0,"LEER",IF(COUNTA(H6,H10,H14,H15,H16,H9,H17,H19,H11,H12,H13)=11,"OK","FEHLER"))</f>
        <v>LEER</v>
      </c>
      <c r="I5" s="538" t="str">
        <f t="shared" si="1"/>
        <v>LEER</v>
      </c>
    </row>
    <row r="6" spans="1:9">
      <c r="A6" s="539"/>
      <c r="B6" s="540" t="s">
        <v>94</v>
      </c>
      <c r="C6" s="541" t="s">
        <v>95</v>
      </c>
      <c r="D6" s="542" t="s">
        <v>96</v>
      </c>
      <c r="E6" s="542"/>
      <c r="F6" s="543"/>
      <c r="G6" s="770" t="str">
        <f>AnmeldeListe!A1</f>
        <v>DAV Altdorf</v>
      </c>
      <c r="H6" s="544"/>
      <c r="I6" s="544"/>
    </row>
    <row r="7" spans="1:9">
      <c r="A7" s="545"/>
      <c r="B7" s="540" t="s">
        <v>97</v>
      </c>
      <c r="C7" s="541" t="s">
        <v>98</v>
      </c>
      <c r="D7" s="542" t="s">
        <v>99</v>
      </c>
      <c r="E7" s="542"/>
      <c r="F7" s="543"/>
      <c r="G7" s="770" t="str">
        <f>AnmeldeListe!C3</f>
        <v>Beispieltour</v>
      </c>
      <c r="H7" s="544"/>
      <c r="I7" s="544"/>
    </row>
    <row r="8" spans="1:9">
      <c r="A8" s="545"/>
      <c r="B8" s="546" t="s">
        <v>100</v>
      </c>
      <c r="C8" s="547" t="s">
        <v>101</v>
      </c>
      <c r="D8" s="548"/>
      <c r="E8" s="548"/>
      <c r="F8" s="549"/>
      <c r="G8" s="770" t="str">
        <f>AnmeldeListe!C1</f>
        <v>Sektion</v>
      </c>
      <c r="H8" s="517"/>
      <c r="I8" s="517"/>
    </row>
    <row r="9" spans="1:9" ht="25.5">
      <c r="A9" s="550"/>
      <c r="B9" s="551" t="s">
        <v>102</v>
      </c>
      <c r="C9" s="552" t="s">
        <v>103</v>
      </c>
      <c r="D9" s="553" t="s">
        <v>104</v>
      </c>
      <c r="E9" s="553"/>
      <c r="F9" s="554"/>
      <c r="G9" s="773" t="str">
        <f>AnmeldeListe!B3</f>
        <v>(Berg-)Wandern</v>
      </c>
      <c r="H9" s="555"/>
      <c r="I9" s="555"/>
    </row>
    <row r="10" spans="1:9">
      <c r="A10" s="545"/>
      <c r="B10" s="540" t="s">
        <v>105</v>
      </c>
      <c r="C10" s="541" t="s">
        <v>106</v>
      </c>
      <c r="D10" s="542">
        <v>1</v>
      </c>
      <c r="E10" s="542" t="s">
        <v>107</v>
      </c>
      <c r="F10" s="556"/>
      <c r="G10" s="544">
        <v>1</v>
      </c>
      <c r="H10" s="544"/>
      <c r="I10" s="544"/>
    </row>
    <row r="11" spans="1:9">
      <c r="A11" s="545"/>
      <c r="B11" s="540" t="s">
        <v>108</v>
      </c>
      <c r="C11" s="557" t="s">
        <v>109</v>
      </c>
      <c r="D11" s="542">
        <v>2024</v>
      </c>
      <c r="E11" s="542" t="s">
        <v>110</v>
      </c>
      <c r="F11" s="556"/>
      <c r="G11" s="771">
        <f>YEAR(AnmeldeListe!B4)</f>
        <v>2025</v>
      </c>
      <c r="H11" s="516"/>
      <c r="I11" s="516"/>
    </row>
    <row r="12" spans="1:9">
      <c r="A12" s="545"/>
      <c r="B12" s="540" t="s">
        <v>111</v>
      </c>
      <c r="C12" s="557" t="s">
        <v>109</v>
      </c>
      <c r="D12" s="542" t="s">
        <v>112</v>
      </c>
      <c r="E12" s="542" t="s">
        <v>113</v>
      </c>
      <c r="F12" s="556"/>
      <c r="G12" s="771" t="str">
        <f>VLOOKUP(MONTH(AnmeldeListe!B4),HilfeListe!AB15:AC27,2)</f>
        <v>JUL</v>
      </c>
      <c r="H12" s="516"/>
      <c r="I12" s="516"/>
    </row>
    <row r="13" spans="1:9">
      <c r="A13" s="545"/>
      <c r="B13" s="540" t="s">
        <v>114</v>
      </c>
      <c r="C13" s="541" t="s">
        <v>115</v>
      </c>
      <c r="D13" s="542">
        <v>12</v>
      </c>
      <c r="E13" s="542" t="s">
        <v>31</v>
      </c>
      <c r="F13" s="549"/>
      <c r="G13" s="772">
        <f>DAY(AnmeldeListe!B4)</f>
        <v>4</v>
      </c>
      <c r="H13" s="558"/>
      <c r="I13" s="558"/>
    </row>
    <row r="14" spans="1:9" ht="25.5">
      <c r="A14" s="545"/>
      <c r="B14" s="559" t="s">
        <v>116</v>
      </c>
      <c r="C14" s="560" t="s">
        <v>117</v>
      </c>
      <c r="D14" s="561">
        <v>1.5</v>
      </c>
      <c r="E14" s="562" t="s">
        <v>31</v>
      </c>
      <c r="F14" s="563"/>
      <c r="G14" s="774">
        <f>Dauer</f>
        <v>3</v>
      </c>
      <c r="H14" s="564"/>
      <c r="I14" s="564"/>
    </row>
    <row r="15" spans="1:9" ht="25.5">
      <c r="A15" s="545"/>
      <c r="B15" s="559" t="s">
        <v>118</v>
      </c>
      <c r="C15" s="560" t="str">
        <f>IF([1]Start!$D$14="DE","inkl. Leitungsperson, bei fluktuierender Teilnehmendenzahl den Durchschnittwert pro Veranstaltungsaktivität","Average Number of Attendees per Day")</f>
        <v>inkl. Leitungsperson, bei fluktuierender Teilnehmendenzahl den Durchschnittwert pro Veranstaltungsaktivität</v>
      </c>
      <c r="D15" s="562">
        <v>10</v>
      </c>
      <c r="E15" s="562" t="s">
        <v>119</v>
      </c>
      <c r="F15" s="565"/>
      <c r="G15" s="774">
        <f>Personen</f>
        <v>2</v>
      </c>
      <c r="H15" s="566"/>
      <c r="I15" s="566"/>
    </row>
    <row r="16" spans="1:9" ht="23.25">
      <c r="A16" s="545"/>
      <c r="B16" s="540" t="s">
        <v>120</v>
      </c>
      <c r="C16" s="567" t="s">
        <v>121</v>
      </c>
      <c r="D16" s="562" t="s">
        <v>122</v>
      </c>
      <c r="E16" s="562" t="s">
        <v>123</v>
      </c>
      <c r="F16" s="568"/>
      <c r="G16" s="775" t="str">
        <f>AnmeldeListe!C5</f>
        <v>&lt;Ort&gt;</v>
      </c>
      <c r="H16" s="569"/>
      <c r="I16" s="569"/>
    </row>
    <row r="17" spans="1:9">
      <c r="A17" s="545"/>
      <c r="B17" s="540" t="s">
        <v>124</v>
      </c>
      <c r="C17" s="541" t="s">
        <v>125</v>
      </c>
      <c r="D17" s="542" t="s">
        <v>126</v>
      </c>
      <c r="E17" s="542" t="s">
        <v>127</v>
      </c>
      <c r="F17" s="543"/>
      <c r="G17" s="771" t="str">
        <f>AnmeldeListe!B5</f>
        <v>Österreich</v>
      </c>
      <c r="H17" s="516"/>
      <c r="I17" s="516"/>
    </row>
    <row r="18" spans="1:9" ht="76.5">
      <c r="A18" s="545"/>
      <c r="B18" s="546" t="s">
        <v>128</v>
      </c>
      <c r="C18" s="547" t="s">
        <v>129</v>
      </c>
      <c r="D18" s="548"/>
      <c r="E18" s="548"/>
      <c r="F18" s="570" t="s">
        <v>130</v>
      </c>
      <c r="G18" s="571"/>
      <c r="H18" s="571"/>
      <c r="I18" s="571" t="e">
        <f>VLOOKUP([1]Eingabemaske!I17,[1]Auswahlfelder!$Q$2:$S$33,3,FALSE)</f>
        <v>#N/A</v>
      </c>
    </row>
    <row r="19" spans="1:9">
      <c r="A19" s="545"/>
      <c r="B19" s="546" t="s">
        <v>131</v>
      </c>
      <c r="C19" s="547" t="str">
        <f>IF([1]Start!$D$14="DE","Art der Veranstaltungsaktivität","Type of Event")</f>
        <v>Art der Veranstaltungsaktivität</v>
      </c>
      <c r="D19" s="572" t="s">
        <v>132</v>
      </c>
      <c r="E19" s="572"/>
      <c r="F19" s="549"/>
      <c r="G19" s="573" t="s">
        <v>132</v>
      </c>
      <c r="H19" s="573"/>
      <c r="I19" s="573"/>
    </row>
    <row r="20" spans="1:9">
      <c r="A20" s="574" t="s">
        <v>133</v>
      </c>
      <c r="B20" s="575"/>
      <c r="C20" s="576"/>
      <c r="D20" s="577"/>
      <c r="E20" s="577"/>
      <c r="F20" s="578"/>
      <c r="G20" s="579" t="str">
        <f t="shared" ref="G20:I20" si="2">IF(COUNTA(G22:G43)=0,"LEER",IF(AND(COUNTA(G22:G31)&gt;0,COUNTA(G33:G43)=0),"OK KOMPLEX",IF(AND(COUNTA(G22:G31)=0,COUNTA(G33:G43)&gt;0,SUM(G34:G43)=1),"OK EINFACH","FEHLER")))</f>
        <v>OK KOMPLEX</v>
      </c>
      <c r="H20" s="579" t="str">
        <f t="shared" si="2"/>
        <v>LEER</v>
      </c>
      <c r="I20" s="579" t="str">
        <f t="shared" si="2"/>
        <v>LEER</v>
      </c>
    </row>
    <row r="21" spans="1:9">
      <c r="A21" s="580"/>
      <c r="B21" s="581" t="s">
        <v>134</v>
      </c>
      <c r="C21" s="582"/>
      <c r="D21" s="583"/>
      <c r="E21" s="584"/>
      <c r="F21" s="585"/>
      <c r="G21" s="586"/>
      <c r="H21" s="586"/>
      <c r="I21" s="586"/>
    </row>
    <row r="22" spans="1:9">
      <c r="A22" s="539"/>
      <c r="B22" s="587" t="s">
        <v>135</v>
      </c>
      <c r="C22" s="588" t="s">
        <v>136</v>
      </c>
      <c r="D22" s="542">
        <v>100</v>
      </c>
      <c r="E22" s="548" t="s">
        <v>137</v>
      </c>
      <c r="F22" s="549"/>
      <c r="G22" s="776">
        <f>COUNTIFS(AnmeldeListe!$I$32:$W$32,VLOOKUP(B22,HilfeListe!$I$16:$J$36,2,0),AnmeldeListe!$I$31:$W$31,"&gt;0")*km</f>
        <v>0</v>
      </c>
      <c r="H22" s="589"/>
      <c r="I22" s="589"/>
    </row>
    <row r="23" spans="1:9">
      <c r="B23" s="587" t="s">
        <v>138</v>
      </c>
      <c r="C23" s="590" t="s">
        <v>139</v>
      </c>
      <c r="D23" s="542">
        <v>100</v>
      </c>
      <c r="E23" s="591" t="s">
        <v>137</v>
      </c>
      <c r="F23" s="592"/>
      <c r="G23" s="776">
        <f>COUNTIFS(AnmeldeListe!$I$32:$W$32,VLOOKUP(B23,HilfeListe!$I$16:$J$36,2,0),AnmeldeListe!$I$31:$W$31,"&gt;0")*km</f>
        <v>0</v>
      </c>
      <c r="H23" s="589"/>
      <c r="I23" s="589"/>
    </row>
    <row r="24" spans="1:9">
      <c r="B24" s="587" t="s">
        <v>140</v>
      </c>
      <c r="C24" s="590" t="s">
        <v>141</v>
      </c>
      <c r="D24" s="542">
        <v>100</v>
      </c>
      <c r="E24" s="591" t="s">
        <v>137</v>
      </c>
      <c r="F24" s="592"/>
      <c r="G24" s="776">
        <f>COUNTIFS(AnmeldeListe!$I$32:$W$32,VLOOKUP(B24,HilfeListe!$I$16:$J$36,2,0),AnmeldeListe!$I$31:$W$31,"&gt;0")*km</f>
        <v>600</v>
      </c>
      <c r="H24" s="589"/>
      <c r="I24" s="589"/>
    </row>
    <row r="25" spans="1:9">
      <c r="B25" s="587" t="s">
        <v>142</v>
      </c>
      <c r="C25" s="590" t="s">
        <v>143</v>
      </c>
      <c r="D25" s="542">
        <v>200</v>
      </c>
      <c r="E25" s="591" t="s">
        <v>137</v>
      </c>
      <c r="F25" s="592"/>
      <c r="G25" s="776">
        <f>COUNTIFS(AnmeldeListe!$I$32:$W$32,VLOOKUP(B25,HilfeListe!$I$16:$J$36,2,0),AnmeldeListe!$I$31:$W$31,"&gt;0")*km</f>
        <v>0</v>
      </c>
      <c r="H25" s="589"/>
      <c r="I25" s="589"/>
    </row>
    <row r="26" spans="1:9">
      <c r="B26" s="593" t="s">
        <v>144</v>
      </c>
      <c r="C26" s="590" t="s">
        <v>145</v>
      </c>
      <c r="D26" s="542">
        <v>5</v>
      </c>
      <c r="E26" s="542" t="s">
        <v>119</v>
      </c>
      <c r="F26" s="592"/>
      <c r="G26" s="776">
        <f>COUNTIFS(AnmeldeListe!$I$32:$W$32,VLOOKUP(B26,HilfeListe!$I$16:$J$36,2,0),AnmeldeListe!$I$31:$W$31,"&gt;0")*km</f>
        <v>0</v>
      </c>
      <c r="H26" s="589"/>
      <c r="I26" s="589"/>
    </row>
    <row r="27" spans="1:9">
      <c r="B27" s="587" t="s">
        <v>146</v>
      </c>
      <c r="C27" s="590" t="s">
        <v>147</v>
      </c>
      <c r="D27" s="542">
        <v>5</v>
      </c>
      <c r="E27" s="591" t="s">
        <v>148</v>
      </c>
      <c r="F27" s="594"/>
      <c r="G27" s="776">
        <f>COUNTIFS(AnmeldeListe!$I$32:$W$32,VLOOKUP(B27,HilfeListe!$I$16:$J$36,2,0),AnmeldeListe!$I$31:$W$31,"&gt;0")*km</f>
        <v>0</v>
      </c>
      <c r="H27" s="589"/>
      <c r="I27" s="589"/>
    </row>
    <row r="28" spans="1:9">
      <c r="B28" s="587" t="s">
        <v>149</v>
      </c>
      <c r="C28" s="590" t="s">
        <v>150</v>
      </c>
      <c r="D28" s="542">
        <v>20</v>
      </c>
      <c r="E28" s="542" t="s">
        <v>148</v>
      </c>
      <c r="F28" s="592"/>
      <c r="G28" s="776">
        <f>COUNTIFS(AnmeldeListe!$I$32:$W$32,VLOOKUP(B28,HilfeListe!$I$16:$J$36,2,0),AnmeldeListe!$I$31:$W$31,"&gt;0")*km</f>
        <v>0</v>
      </c>
      <c r="H28" s="589"/>
      <c r="I28" s="589"/>
    </row>
    <row r="29" spans="1:9">
      <c r="B29" s="587" t="s">
        <v>151</v>
      </c>
      <c r="C29" s="590" t="s">
        <v>152</v>
      </c>
      <c r="D29" s="542">
        <v>100</v>
      </c>
      <c r="E29" s="542" t="s">
        <v>148</v>
      </c>
      <c r="F29" s="592"/>
      <c r="G29" s="776">
        <f>COUNTIFS(AnmeldeListe!$I$32:$W$32,VLOOKUP(B29,HilfeListe!$I$16:$J$36,2,0),AnmeldeListe!$I$31:$W$31,"&gt;0")*km</f>
        <v>0</v>
      </c>
      <c r="H29" s="589"/>
      <c r="I29" s="589"/>
    </row>
    <row r="30" spans="1:9">
      <c r="B30" s="587" t="s">
        <v>153</v>
      </c>
      <c r="C30" s="590" t="s">
        <v>154</v>
      </c>
      <c r="D30" s="542">
        <v>800</v>
      </c>
      <c r="E30" s="542" t="s">
        <v>148</v>
      </c>
      <c r="F30" s="592"/>
      <c r="G30" s="776">
        <f>COUNTIFS(AnmeldeListe!$I$32:$W$32,VLOOKUP(B30,HilfeListe!$I$16:$J$36,2,0),AnmeldeListe!$I$31:$W$31,"&gt;0")*km</f>
        <v>0</v>
      </c>
      <c r="H30" s="589"/>
      <c r="I30" s="589"/>
    </row>
    <row r="31" spans="1:9">
      <c r="A31" s="595"/>
      <c r="B31" s="596" t="s">
        <v>155</v>
      </c>
      <c r="C31" s="597" t="s">
        <v>156</v>
      </c>
      <c r="D31" s="598">
        <v>0</v>
      </c>
      <c r="E31" s="598" t="s">
        <v>148</v>
      </c>
      <c r="F31" s="599"/>
      <c r="G31" s="776">
        <f>COUNTIFS(AnmeldeListe!$I$32:$W$32,VLOOKUP(B31,HilfeListe!$I$16:$J$36,2,0),AnmeldeListe!$I$31:$W$31,"&gt;0")*km</f>
        <v>0</v>
      </c>
      <c r="H31" s="600"/>
      <c r="I31" s="600"/>
    </row>
    <row r="32" spans="1:9" ht="76.5">
      <c r="B32" s="601"/>
      <c r="C32" s="602"/>
      <c r="D32" s="603"/>
      <c r="E32" s="603"/>
      <c r="F32" s="604" t="s">
        <v>130</v>
      </c>
      <c r="G32" s="605"/>
      <c r="H32" s="605"/>
      <c r="I32" s="605"/>
    </row>
    <row r="33" spans="1:9" ht="25.5" hidden="1" outlineLevel="1">
      <c r="B33" s="606" t="s">
        <v>157</v>
      </c>
      <c r="C33" s="607" t="s">
        <v>158</v>
      </c>
      <c r="D33" s="608">
        <v>100</v>
      </c>
      <c r="E33" s="609" t="s">
        <v>46</v>
      </c>
      <c r="F33" s="610"/>
      <c r="G33" s="611"/>
      <c r="H33" s="611"/>
      <c r="I33" s="611"/>
    </row>
    <row r="34" spans="1:9" hidden="1" outlineLevel="1">
      <c r="A34" s="601"/>
      <c r="B34" s="612" t="s">
        <v>135</v>
      </c>
      <c r="C34" s="613" t="s">
        <v>159</v>
      </c>
      <c r="D34" s="614">
        <v>0.5</v>
      </c>
      <c r="E34" s="614"/>
      <c r="F34" s="592"/>
      <c r="G34" s="615"/>
      <c r="H34" s="615"/>
      <c r="I34" s="615"/>
    </row>
    <row r="35" spans="1:9" hidden="1" outlineLevel="1">
      <c r="A35" s="601"/>
      <c r="B35" s="612" t="s">
        <v>138</v>
      </c>
      <c r="C35" s="613" t="s">
        <v>159</v>
      </c>
      <c r="D35" s="614">
        <v>0</v>
      </c>
      <c r="E35" s="614"/>
      <c r="F35" s="592"/>
      <c r="G35" s="615"/>
      <c r="H35" s="615"/>
      <c r="I35" s="615"/>
    </row>
    <row r="36" spans="1:9" hidden="1" outlineLevel="1">
      <c r="A36" s="601"/>
      <c r="B36" s="612" t="s">
        <v>140</v>
      </c>
      <c r="C36" s="613" t="s">
        <v>159</v>
      </c>
      <c r="D36" s="614">
        <v>0</v>
      </c>
      <c r="E36" s="614"/>
      <c r="F36" s="592"/>
      <c r="G36" s="615"/>
      <c r="H36" s="615"/>
      <c r="I36" s="615"/>
    </row>
    <row r="37" spans="1:9" hidden="1" outlineLevel="1">
      <c r="A37" s="601"/>
      <c r="B37" s="612" t="s">
        <v>142</v>
      </c>
      <c r="C37" s="613" t="s">
        <v>159</v>
      </c>
      <c r="D37" s="614">
        <v>0</v>
      </c>
      <c r="E37" s="614"/>
      <c r="F37" s="592"/>
      <c r="G37" s="615"/>
      <c r="H37" s="615"/>
      <c r="I37" s="615"/>
    </row>
    <row r="38" spans="1:9" hidden="1" outlineLevel="1">
      <c r="A38" s="601"/>
      <c r="B38" s="616" t="s">
        <v>144</v>
      </c>
      <c r="C38" s="613" t="s">
        <v>160</v>
      </c>
      <c r="D38" s="614">
        <v>0</v>
      </c>
      <c r="E38" s="614"/>
      <c r="F38" s="592"/>
      <c r="G38" s="615"/>
      <c r="H38" s="615"/>
      <c r="I38" s="615"/>
    </row>
    <row r="39" spans="1:9" hidden="1" outlineLevel="1">
      <c r="A39" s="601"/>
      <c r="B39" s="612" t="s">
        <v>146</v>
      </c>
      <c r="C39" s="613" t="s">
        <v>160</v>
      </c>
      <c r="D39" s="614">
        <v>0.1</v>
      </c>
      <c r="E39" s="614"/>
      <c r="F39" s="592"/>
      <c r="G39" s="615"/>
      <c r="H39" s="615"/>
      <c r="I39" s="615"/>
    </row>
    <row r="40" spans="1:9" hidden="1" outlineLevel="1">
      <c r="A40" s="601"/>
      <c r="B40" s="612" t="s">
        <v>149</v>
      </c>
      <c r="C40" s="613" t="s">
        <v>160</v>
      </c>
      <c r="D40" s="614">
        <v>0</v>
      </c>
      <c r="E40" s="614"/>
      <c r="F40" s="592"/>
      <c r="G40" s="615"/>
      <c r="H40" s="615"/>
      <c r="I40" s="615"/>
    </row>
    <row r="41" spans="1:9" hidden="1" outlineLevel="1">
      <c r="A41" s="601"/>
      <c r="B41" s="612" t="s">
        <v>151</v>
      </c>
      <c r="C41" s="613" t="s">
        <v>160</v>
      </c>
      <c r="D41" s="614">
        <v>0.1</v>
      </c>
      <c r="E41" s="614"/>
      <c r="F41" s="592"/>
      <c r="G41" s="615"/>
      <c r="H41" s="615"/>
      <c r="I41" s="615"/>
    </row>
    <row r="42" spans="1:9" hidden="1" outlineLevel="1">
      <c r="A42" s="601"/>
      <c r="B42" s="612" t="s">
        <v>153</v>
      </c>
      <c r="C42" s="613" t="s">
        <v>160</v>
      </c>
      <c r="D42" s="614">
        <v>0.3</v>
      </c>
      <c r="E42" s="614"/>
      <c r="F42" s="592"/>
      <c r="G42" s="615"/>
      <c r="H42" s="615"/>
      <c r="I42" s="615"/>
    </row>
    <row r="43" spans="1:9" hidden="1" outlineLevel="1">
      <c r="A43" s="617"/>
      <c r="B43" s="618" t="s">
        <v>155</v>
      </c>
      <c r="C43" s="619" t="s">
        <v>161</v>
      </c>
      <c r="D43" s="620">
        <v>0</v>
      </c>
      <c r="E43" s="621"/>
      <c r="F43" s="622"/>
      <c r="G43" s="615"/>
      <c r="H43" s="615"/>
      <c r="I43" s="615"/>
    </row>
    <row r="44" spans="1:9" ht="76.5" collapsed="1">
      <c r="A44" s="623"/>
      <c r="B44" s="601"/>
      <c r="C44" s="624"/>
      <c r="D44" s="625"/>
      <c r="E44" s="625"/>
      <c r="F44" s="626" t="s">
        <v>130</v>
      </c>
      <c r="G44" s="627"/>
      <c r="H44" s="627"/>
      <c r="I44" s="627"/>
    </row>
    <row r="45" spans="1:9">
      <c r="A45" s="628" t="s">
        <v>162</v>
      </c>
      <c r="B45" s="629"/>
      <c r="C45" s="630"/>
      <c r="D45" s="631"/>
      <c r="E45" s="632"/>
      <c r="F45" s="633"/>
      <c r="G45" s="579"/>
      <c r="H45" s="579"/>
      <c r="I45" s="579"/>
    </row>
    <row r="46" spans="1:9">
      <c r="A46" s="634"/>
      <c r="B46" s="635" t="s">
        <v>163</v>
      </c>
      <c r="C46" s="636"/>
      <c r="D46" s="637"/>
      <c r="E46" s="638"/>
      <c r="F46" s="639"/>
      <c r="G46" s="640" t="str">
        <f t="shared" ref="G46:I46" si="3">IF(COUNTA(G48:G51)=0,"LEER",IF(AND(COUNTA(G48:G50)=3,COUNTA(G51)=0),"OK KOMPLEX",IF(AND(COUNTA(G48:G50)=0,COUNTA(G51)&gt;0),"OK EINFACH","FEHLER")))</f>
        <v>LEER</v>
      </c>
      <c r="H46" s="640" t="str">
        <f t="shared" si="3"/>
        <v>LEER</v>
      </c>
      <c r="I46" s="640" t="str">
        <f t="shared" si="3"/>
        <v>LEER</v>
      </c>
    </row>
    <row r="47" spans="1:9">
      <c r="A47" s="641"/>
      <c r="B47" s="581" t="s">
        <v>134</v>
      </c>
      <c r="C47" s="642"/>
      <c r="D47" s="583"/>
      <c r="E47" s="584"/>
      <c r="F47" s="643"/>
      <c r="G47" s="586"/>
      <c r="H47" s="586"/>
      <c r="I47" s="586"/>
    </row>
    <row r="48" spans="1:9">
      <c r="A48" s="644"/>
      <c r="B48" s="587" t="s">
        <v>164</v>
      </c>
      <c r="C48" s="590" t="s">
        <v>165</v>
      </c>
      <c r="D48" s="542">
        <v>1</v>
      </c>
      <c r="E48" s="542" t="s">
        <v>166</v>
      </c>
      <c r="F48" s="645"/>
      <c r="G48" s="544"/>
      <c r="H48" s="544"/>
      <c r="I48" s="544"/>
    </row>
    <row r="49" spans="1:9">
      <c r="A49" s="646"/>
      <c r="B49" s="647" t="s">
        <v>167</v>
      </c>
      <c r="C49" s="590" t="s">
        <v>168</v>
      </c>
      <c r="D49" s="542" t="s">
        <v>169</v>
      </c>
      <c r="E49" s="542"/>
      <c r="F49" s="543"/>
      <c r="G49" s="648"/>
      <c r="H49" s="648"/>
      <c r="I49" s="648"/>
    </row>
    <row r="50" spans="1:9">
      <c r="A50" s="649"/>
      <c r="B50" s="650" t="s">
        <v>170</v>
      </c>
      <c r="C50" s="597" t="s">
        <v>168</v>
      </c>
      <c r="D50" s="651" t="s">
        <v>171</v>
      </c>
      <c r="E50" s="651"/>
      <c r="F50" s="652"/>
      <c r="G50" s="653"/>
      <c r="H50" s="653"/>
      <c r="I50" s="653"/>
    </row>
    <row r="51" spans="1:9">
      <c r="A51" s="602"/>
      <c r="B51" s="654" t="s">
        <v>172</v>
      </c>
      <c r="C51" s="655" t="s">
        <v>173</v>
      </c>
      <c r="D51" s="656">
        <v>2050</v>
      </c>
      <c r="E51" s="625" t="s">
        <v>174</v>
      </c>
      <c r="F51" s="657"/>
      <c r="G51" s="605"/>
      <c r="H51" s="605"/>
      <c r="I51" s="605"/>
    </row>
    <row r="52" spans="1:9">
      <c r="A52" s="658"/>
      <c r="B52" s="659" t="s">
        <v>175</v>
      </c>
      <c r="C52" s="658"/>
      <c r="D52" s="658"/>
      <c r="E52" s="660"/>
      <c r="F52" s="661"/>
      <c r="G52" s="662" t="str">
        <f t="shared" ref="G52:I52" si="4">IF(COUNTA(G54:G57)=0,"LEER",IF(AND(COUNTA(G54:G56)=3,COUNTA(G57)=0),"OK KOMPLEX",IF(AND(COUNTA(G54:G56)=0,COUNTA(G57)&gt;0),"OK EINFACH","FEHLER")))</f>
        <v>LEER</v>
      </c>
      <c r="H52" s="662" t="str">
        <f t="shared" si="4"/>
        <v>LEER</v>
      </c>
      <c r="I52" s="662" t="str">
        <f t="shared" si="4"/>
        <v>LEER</v>
      </c>
    </row>
    <row r="53" spans="1:9">
      <c r="A53" s="641"/>
      <c r="B53" s="581" t="s">
        <v>134</v>
      </c>
      <c r="C53" s="642"/>
      <c r="D53" s="583"/>
      <c r="E53" s="584"/>
      <c r="F53" s="643"/>
      <c r="G53" s="586"/>
      <c r="H53" s="586"/>
      <c r="I53" s="586"/>
    </row>
    <row r="54" spans="1:9">
      <c r="A54" s="646"/>
      <c r="B54" s="663" t="s">
        <v>164</v>
      </c>
      <c r="C54" s="664" t="s">
        <v>165</v>
      </c>
      <c r="D54" s="548">
        <v>1</v>
      </c>
      <c r="E54" s="548" t="s">
        <v>166</v>
      </c>
      <c r="F54" s="665"/>
      <c r="G54" s="666"/>
      <c r="H54" s="666"/>
      <c r="I54" s="666"/>
    </row>
    <row r="55" spans="1:9">
      <c r="A55" s="646"/>
      <c r="B55" s="667" t="s">
        <v>167</v>
      </c>
      <c r="C55" s="668" t="s">
        <v>168</v>
      </c>
      <c r="D55" s="669" t="s">
        <v>171</v>
      </c>
      <c r="E55" s="669"/>
      <c r="F55" s="670"/>
      <c r="G55" s="648"/>
      <c r="H55" s="648"/>
      <c r="I55" s="648"/>
    </row>
    <row r="56" spans="1:9">
      <c r="A56" s="649"/>
      <c r="B56" s="671" t="s">
        <v>170</v>
      </c>
      <c r="C56" s="672" t="s">
        <v>168</v>
      </c>
      <c r="D56" s="651" t="s">
        <v>169</v>
      </c>
      <c r="E56" s="651"/>
      <c r="F56" s="673"/>
      <c r="G56" s="653"/>
      <c r="H56" s="653"/>
      <c r="I56" s="653"/>
    </row>
    <row r="57" spans="1:9">
      <c r="A57" s="646"/>
      <c r="B57" s="674" t="s">
        <v>176</v>
      </c>
      <c r="C57" s="675" t="s">
        <v>177</v>
      </c>
      <c r="D57" s="542">
        <v>2030</v>
      </c>
      <c r="E57" s="542" t="s">
        <v>174</v>
      </c>
      <c r="F57" s="676"/>
      <c r="G57" s="677"/>
      <c r="H57" s="677"/>
      <c r="I57" s="677"/>
    </row>
    <row r="58" spans="1:9">
      <c r="A58" s="678" t="s">
        <v>178</v>
      </c>
      <c r="B58" s="679"/>
      <c r="C58" s="680"/>
      <c r="D58" s="681"/>
      <c r="E58" s="681"/>
      <c r="F58" s="682"/>
      <c r="G58" s="683" t="str">
        <f t="shared" ref="G58:I58" si="5">IF(COUNTA(G59:G66)=0,"LEER",IF(COUNTA(G59:G66)&gt;0,"OK","FEHLER"))</f>
        <v>OK</v>
      </c>
      <c r="H58" s="683" t="str">
        <f t="shared" si="5"/>
        <v>LEER</v>
      </c>
      <c r="I58" s="683" t="str">
        <f t="shared" si="5"/>
        <v>LEER</v>
      </c>
    </row>
    <row r="59" spans="1:9">
      <c r="B59" s="684" t="s">
        <v>179</v>
      </c>
      <c r="C59" s="613" t="s">
        <v>136</v>
      </c>
      <c r="D59" s="685">
        <v>10</v>
      </c>
      <c r="E59" s="685" t="s">
        <v>137</v>
      </c>
      <c r="F59" s="594"/>
      <c r="G59" s="786">
        <f>COUNTIFS(AnmeldeListe!$I$32:$W$32,VLOOKUP(B59,HilfeListe!$I$16:$J$36,2,0),AnmeldeListe!$I$31:$W$31,"&gt;0")*kmOrt</f>
        <v>0</v>
      </c>
      <c r="H59" s="677"/>
      <c r="I59" s="677"/>
    </row>
    <row r="60" spans="1:9">
      <c r="B60" s="684" t="s">
        <v>138</v>
      </c>
      <c r="C60" s="613" t="s">
        <v>139</v>
      </c>
      <c r="D60" s="685">
        <v>15</v>
      </c>
      <c r="E60" s="685" t="s">
        <v>137</v>
      </c>
      <c r="F60" s="686"/>
      <c r="G60" s="786">
        <f>COUNTIFS(AnmeldeListe!$I$32:$W$32,VLOOKUP(B60,HilfeListe!$I$16:$J$36,2,0),AnmeldeListe!$I$31:$W$31,"&gt;0")*kmOrt</f>
        <v>0</v>
      </c>
      <c r="H60" s="687"/>
      <c r="I60" s="687"/>
    </row>
    <row r="61" spans="1:9">
      <c r="B61" s="684" t="s">
        <v>140</v>
      </c>
      <c r="C61" s="613" t="s">
        <v>141</v>
      </c>
      <c r="D61" s="685">
        <v>15</v>
      </c>
      <c r="E61" s="685" t="s">
        <v>137</v>
      </c>
      <c r="F61" s="592"/>
      <c r="G61" s="786">
        <f>COUNTIFS(AnmeldeListe!$I$32:$W$32,VLOOKUP(B61,HilfeListe!$I$16:$J$36,2,0),AnmeldeListe!$I$31:$W$31,"&gt;0")*kmOrt</f>
        <v>0</v>
      </c>
      <c r="H61" s="687"/>
      <c r="I61" s="687"/>
    </row>
    <row r="62" spans="1:9">
      <c r="B62" s="612" t="s">
        <v>142</v>
      </c>
      <c r="C62" s="613" t="s">
        <v>143</v>
      </c>
      <c r="D62" s="685">
        <v>5</v>
      </c>
      <c r="E62" s="685" t="s">
        <v>137</v>
      </c>
      <c r="F62" s="592"/>
      <c r="G62" s="786">
        <f>COUNTIFS(AnmeldeListe!$I$32:$W$32,VLOOKUP(B62,HilfeListe!$I$16:$J$36,2,0),AnmeldeListe!$I$31:$W$31,"&gt;0")*kmOrt</f>
        <v>0</v>
      </c>
      <c r="H62" s="687"/>
      <c r="I62" s="687"/>
    </row>
    <row r="63" spans="1:9">
      <c r="B63" s="612" t="s">
        <v>149</v>
      </c>
      <c r="C63" s="613" t="s">
        <v>180</v>
      </c>
      <c r="D63" s="685">
        <v>5</v>
      </c>
      <c r="E63" s="685" t="s">
        <v>148</v>
      </c>
      <c r="F63" s="592"/>
      <c r="G63" s="786">
        <f>COUNTIFS(AnmeldeListe!$I$32:$W$32,VLOOKUP(B63,HilfeListe!$I$16:$J$36,2,0),AnmeldeListe!$I$31:$W$31,"&gt;0")*kmOrt</f>
        <v>0</v>
      </c>
      <c r="H63" s="687"/>
      <c r="I63" s="687"/>
    </row>
    <row r="64" spans="1:9">
      <c r="B64" s="684" t="s">
        <v>151</v>
      </c>
      <c r="C64" s="613" t="s">
        <v>181</v>
      </c>
      <c r="D64" s="685">
        <v>5</v>
      </c>
      <c r="E64" s="685" t="s">
        <v>148</v>
      </c>
      <c r="F64" s="592"/>
      <c r="G64" s="786">
        <f>COUNTIFS(AnmeldeListe!$I$32:$W$32,VLOOKUP(B64,HilfeListe!$I$16:$J$36,2,0),AnmeldeListe!$I$31:$W$31,"&gt;0")*kmOrt +
COUNTIFS(AnmeldeListe!$I$32:$W$32,VLOOKUP(B30,HilfeListe!$I$16:$J$36,2,0),AnmeldeListe!$I$31:$W$31,"&gt;0")*kmOrt</f>
        <v>0</v>
      </c>
      <c r="H64" s="687"/>
      <c r="I64" s="687"/>
    </row>
    <row r="65" spans="1:9">
      <c r="B65" s="688" t="s">
        <v>155</v>
      </c>
      <c r="C65" s="689" t="s">
        <v>182</v>
      </c>
      <c r="D65" s="685">
        <v>50</v>
      </c>
      <c r="E65" s="685" t="s">
        <v>137</v>
      </c>
      <c r="F65" s="592"/>
      <c r="G65" s="786">
        <f>COUNTIFS(AnmeldeListe!$I$32:$W$32,VLOOKUP(B65,HilfeListe!$I$16:$J$36,2,0),AnmeldeListe!$I$31:$W$31,"&gt;0")*kmOrt</f>
        <v>0</v>
      </c>
      <c r="H65" s="687"/>
      <c r="I65" s="687"/>
    </row>
    <row r="66" spans="1:9">
      <c r="B66" s="618" t="s">
        <v>183</v>
      </c>
      <c r="C66" s="602" t="s">
        <v>184</v>
      </c>
      <c r="D66" s="690">
        <v>10</v>
      </c>
      <c r="E66" s="690" t="s">
        <v>185</v>
      </c>
      <c r="F66" s="691"/>
      <c r="G66" s="786">
        <f>LiftAnz*VLOOKUP(B66,HilfeListe!P16:Q36,2,0)*Personen</f>
        <v>0</v>
      </c>
      <c r="H66" s="692"/>
      <c r="I66" s="692"/>
    </row>
    <row r="67" spans="1:9" ht="153">
      <c r="A67" s="623"/>
      <c r="B67" s="601" t="s">
        <v>186</v>
      </c>
      <c r="C67" s="545" t="s">
        <v>187</v>
      </c>
      <c r="D67" s="656" t="str">
        <f>IF(AND(D48+D51+D54+D57=0,D39+D40+D41+D42+D44&gt;=0.7,D32+D31+D30+D29+D28+D27&gt;=0.7*(D22+D23+D24+D25+D27+D28+D29+D30+D31+D32)),"Ja","Nein")</f>
        <v>Nein</v>
      </c>
      <c r="E67" s="656"/>
      <c r="F67" s="693" t="s">
        <v>188</v>
      </c>
      <c r="G67" s="694" t="str">
        <f t="shared" ref="G67:I67" si="6">IF(AND(G48+G51+G54+G57=0,G39+G40+G41+G42+G44&gt;=0.7,G32+G31+G30+G29+G28+G27&gt;=0.7*(G22+G23+G24+G25+G27+G28+G29+G30+G31+G32)),"Ja","Nein")</f>
        <v>Nein</v>
      </c>
      <c r="H67" s="694" t="str">
        <f t="shared" si="6"/>
        <v>Nein</v>
      </c>
      <c r="I67" s="694" t="str">
        <f t="shared" si="6"/>
        <v>Nein</v>
      </c>
    </row>
    <row r="68" spans="1:9">
      <c r="A68" s="695" t="s">
        <v>189</v>
      </c>
      <c r="B68" s="696"/>
      <c r="C68" s="697"/>
      <c r="D68" s="698"/>
      <c r="E68" s="698"/>
      <c r="F68" s="699"/>
      <c r="G68" s="640" t="str">
        <f t="shared" ref="G68:I68" si="7">IF(COUNTA(G70:G76)=0,"LEER",IF(COUNTA(G70:G76)&gt;0,"OK","FEHLER"))</f>
        <v>OK</v>
      </c>
      <c r="H68" s="640" t="str">
        <f t="shared" si="7"/>
        <v>LEER</v>
      </c>
      <c r="I68" s="640" t="str">
        <f t="shared" si="7"/>
        <v>LEER</v>
      </c>
    </row>
    <row r="69" spans="1:9">
      <c r="A69" s="700"/>
      <c r="B69" s="701"/>
      <c r="C69" s="701"/>
      <c r="D69" s="701"/>
      <c r="E69" s="701"/>
      <c r="F69" s="700"/>
      <c r="G69" s="586"/>
      <c r="H69" s="586"/>
      <c r="I69" s="586"/>
    </row>
    <row r="70" spans="1:9">
      <c r="B70" s="702" t="s">
        <v>190</v>
      </c>
      <c r="C70" s="1115" t="s">
        <v>191</v>
      </c>
      <c r="D70" s="685">
        <v>6</v>
      </c>
      <c r="E70" s="685" t="s">
        <v>5</v>
      </c>
      <c r="F70" s="676"/>
      <c r="G70" s="786">
        <f>COUNTIFS(AnmeldeListe!AB$3:AJ$3,VLOOKUP(B70,HilfeListe!M16:N36,2,0),AnmeldeListe!AB$9:AJ$9,"ü") +
COUNTIFS(AnmeldeListe!AB$3:AJ$3,VLOOKUP(B70,HilfeListe!M16:N36,2,0),AnmeldeListe!AB$10:AJ$10,"ü") +
COUNTIFS(AnmeldeListe!AB$3:AJ$3,VLOOKUP(B70,HilfeListe!M16:N36,2,0),AnmeldeListe!AB$11:AJ$11,"ü") +
COUNTIFS(AnmeldeListe!AB$3:AJ$3,VLOOKUP(B70,HilfeListe!M16:N36,2,0),AnmeldeListe!AB$12:AJ$12,"ü") +
COUNTIFS(AnmeldeListe!AB$3:AJ$3,VLOOKUP(B70,HilfeListe!M16:N36,2,0),AnmeldeListe!AB$13:AJ$13,"ü") +
COUNTIFS(AnmeldeListe!AB$3:AJ$3,VLOOKUP(B70,HilfeListe!M16:N36,2,0),AnmeldeListe!AB$14:AJ$14,"ü") +
COUNTIFS(AnmeldeListe!AB$3:AJ$3,VLOOKUP(B70,HilfeListe!M16:N36,2,0),AnmeldeListe!AB$15:AJ$15,"ü") +
COUNTIFS(AnmeldeListe!AB$3:AJ$3,VLOOKUP(B70,HilfeListe!M16:N36,2,0),AnmeldeListe!AB$16:AJ$16,"ü") +
COUNTIFS(AnmeldeListe!AB$3:AJ$3,VLOOKUP(B70,HilfeListe!M16:N36,2,0),AnmeldeListe!AB$17:AJ$17,"ü") +
COUNTIFS(AnmeldeListe!AB$3:AJ$3,VLOOKUP(B70,HilfeListe!M16:N36,2,0),AnmeldeListe!AB$18:AJ$18,"ü") +
COUNTIFS(AnmeldeListe!AB$3:AJ$3,VLOOKUP(B70,HilfeListe!M16:N36,2,0),AnmeldeListe!AB$19:AJ$19,"ü") +
COUNTIFS(AnmeldeListe!AB$3:AJ$3,VLOOKUP(B70,HilfeListe!M16:N36,2,0),AnmeldeListe!AB$20:AJ$20,"ü") +
COUNTIFS(AnmeldeListe!AB$3:AJ$3,VLOOKUP(B70,HilfeListe!M16:N36,2,0),AnmeldeListe!AB$21:AJ$21,"ü") +
COUNTIFS(AnmeldeListe!AB$3:AJ$3,VLOOKUP(B70,HilfeListe!M16:N36,2,0),AnmeldeListe!AB$22:AJ$22,"ü") +
COUNTIFS(AnmeldeListe!AB$3:AJ$3,VLOOKUP(B70,HilfeListe!M16:N36,2,0),AnmeldeListe!AB$23:AJ$23,"ü") +
COUNTIFS(AnmeldeListe!AB$3:AJ$3,VLOOKUP(B70,HilfeListe!M16:N36,2,0),AnmeldeListe!AB$24:AJ$24,"ü") +
COUNTIFS(AnmeldeListe!AB$3:AJ$3,VLOOKUP(B70,HilfeListe!M16:N36,2,0),AnmeldeListe!AB$25:AJ$25,"ü") +
COUNTIFS(AnmeldeListe!AB$3:AJ$3,VLOOKUP(B70,HilfeListe!M16:N36,2,0),AnmeldeListe!AB$26:AJ$26,"ü") +
COUNTIFS(AnmeldeListe!AB$3:AJ$3,VLOOKUP(B70,HilfeListe!M16:N36,2,0),AnmeldeListe!AB$27:AJ$27,"ü") +
COUNTIFS(AnmeldeListe!AB$3:AJ$3,VLOOKUP(B70,HilfeListe!M16:N36,2,0),AnmeldeListe!AB$28:AJ$28,"ü")</f>
        <v>0</v>
      </c>
      <c r="H70" s="687"/>
      <c r="I70" s="687"/>
    </row>
    <row r="71" spans="1:9">
      <c r="B71" s="702" t="s">
        <v>30</v>
      </c>
      <c r="C71" s="1116"/>
      <c r="D71" s="685">
        <v>0</v>
      </c>
      <c r="E71" s="685" t="s">
        <v>5</v>
      </c>
      <c r="F71" s="592"/>
      <c r="G71" s="786">
        <f>COUNTIFS(AnmeldeListe!AB$3:AJ$3,VLOOKUP(B71,HilfeListe!M17:N37,2,0),AnmeldeListe!AB$9:AJ$9,"ü") +
COUNTIFS(AnmeldeListe!AB$3:AJ$3,VLOOKUP(B71,HilfeListe!M17:N37,2,0),AnmeldeListe!AB$10:AJ$10,"ü") +
COUNTIFS(AnmeldeListe!AB$3:AJ$3,VLOOKUP(B71,HilfeListe!M17:N37,2,0),AnmeldeListe!AB$11:AJ$11,"ü") +
COUNTIFS(AnmeldeListe!AB$3:AJ$3,VLOOKUP(B71,HilfeListe!M17:N37,2,0),AnmeldeListe!AB$12:AJ$12,"ü") +
COUNTIFS(AnmeldeListe!AB$3:AJ$3,VLOOKUP(B71,HilfeListe!M17:N37,2,0),AnmeldeListe!AB$13:AJ$13,"ü") +
COUNTIFS(AnmeldeListe!AB$3:AJ$3,VLOOKUP(B71,HilfeListe!M17:N37,2,0),AnmeldeListe!AB$14:AJ$14,"ü") +
COUNTIFS(AnmeldeListe!AB$3:AJ$3,VLOOKUP(B71,HilfeListe!M17:N37,2,0),AnmeldeListe!AB$15:AJ$15,"ü") +
COUNTIFS(AnmeldeListe!AB$3:AJ$3,VLOOKUP(B71,HilfeListe!M17:N37,2,0),AnmeldeListe!AB$16:AJ$16,"ü") +
COUNTIFS(AnmeldeListe!AB$3:AJ$3,VLOOKUP(B71,HilfeListe!M17:N37,2,0),AnmeldeListe!AB$17:AJ$17,"ü") +
COUNTIFS(AnmeldeListe!AB$3:AJ$3,VLOOKUP(B71,HilfeListe!M17:N37,2,0),AnmeldeListe!AB$18:AJ$18,"ü") +
COUNTIFS(AnmeldeListe!AB$3:AJ$3,VLOOKUP(B71,HilfeListe!M17:N37,2,0),AnmeldeListe!AB$19:AJ$19,"ü") +
COUNTIFS(AnmeldeListe!AB$3:AJ$3,VLOOKUP(B71,HilfeListe!M17:N37,2,0),AnmeldeListe!AB$20:AJ$20,"ü") +
COUNTIFS(AnmeldeListe!AB$3:AJ$3,VLOOKUP(B71,HilfeListe!M17:N37,2,0),AnmeldeListe!AB$21:AJ$21,"ü") +
COUNTIFS(AnmeldeListe!AB$3:AJ$3,VLOOKUP(B71,HilfeListe!M17:N37,2,0),AnmeldeListe!AB$22:AJ$22,"ü") +
COUNTIFS(AnmeldeListe!AB$3:AJ$3,VLOOKUP(B71,HilfeListe!M17:N37,2,0),AnmeldeListe!AB$23:AJ$23,"ü") +
COUNTIFS(AnmeldeListe!AB$3:AJ$3,VLOOKUP(B71,HilfeListe!M17:N37,2,0),AnmeldeListe!AB$24:AJ$24,"ü") +
COUNTIFS(AnmeldeListe!AB$3:AJ$3,VLOOKUP(B71,HilfeListe!M17:N37,2,0),AnmeldeListe!AB$25:AJ$25,"ü") +
COUNTIFS(AnmeldeListe!AB$3:AJ$3,VLOOKUP(B71,HilfeListe!M17:N37,2,0),AnmeldeListe!AB$26:AJ$26,"ü") +
COUNTIFS(AnmeldeListe!AB$3:AJ$3,VLOOKUP(B71,HilfeListe!M17:N37,2,0),AnmeldeListe!AB$27:AJ$27,"ü") +
COUNTIFS(AnmeldeListe!AB$3:AJ$3,VLOOKUP(B71,HilfeListe!M17:N37,2,0),AnmeldeListe!AB$28:AJ$28,"ü")</f>
        <v>0</v>
      </c>
      <c r="H71" s="687"/>
      <c r="I71" s="687"/>
    </row>
    <row r="72" spans="1:9">
      <c r="B72" s="702" t="s">
        <v>192</v>
      </c>
      <c r="C72" s="1116"/>
      <c r="D72" s="685">
        <v>0</v>
      </c>
      <c r="E72" s="685" t="s">
        <v>5</v>
      </c>
      <c r="F72" s="592"/>
      <c r="G72" s="786">
        <f>COUNTIFS(AnmeldeListe!AB$3:AJ$3,VLOOKUP(B72,HilfeListe!M18:N38,2,0),AnmeldeListe!AB$9:AJ$9,"ü") +
COUNTIFS(AnmeldeListe!AB$3:AJ$3,VLOOKUP(B72,HilfeListe!M18:N38,2,0),AnmeldeListe!AB$10:AJ$10,"ü") +
COUNTIFS(AnmeldeListe!AB$3:AJ$3,VLOOKUP(B72,HilfeListe!M18:N38,2,0),AnmeldeListe!AB$11:AJ$11,"ü") +
COUNTIFS(AnmeldeListe!AB$3:AJ$3,VLOOKUP(B72,HilfeListe!M18:N38,2,0),AnmeldeListe!AB$12:AJ$12,"ü") +
COUNTIFS(AnmeldeListe!AB$3:AJ$3,VLOOKUP(B72,HilfeListe!M18:N38,2,0),AnmeldeListe!AB$13:AJ$13,"ü") +
COUNTIFS(AnmeldeListe!AB$3:AJ$3,VLOOKUP(B72,HilfeListe!M18:N38,2,0),AnmeldeListe!AB$14:AJ$14,"ü") +
COUNTIFS(AnmeldeListe!AB$3:AJ$3,VLOOKUP(B72,HilfeListe!M18:N38,2,0),AnmeldeListe!AB$15:AJ$15,"ü") +
COUNTIFS(AnmeldeListe!AB$3:AJ$3,VLOOKUP(B72,HilfeListe!M18:N38,2,0),AnmeldeListe!AB$16:AJ$16,"ü") +
COUNTIFS(AnmeldeListe!AB$3:AJ$3,VLOOKUP(B72,HilfeListe!M18:N38,2,0),AnmeldeListe!AB$17:AJ$17,"ü") +
COUNTIFS(AnmeldeListe!AB$3:AJ$3,VLOOKUP(B72,HilfeListe!M18:N38,2,0),AnmeldeListe!AB$18:AJ$18,"ü") +
COUNTIFS(AnmeldeListe!AB$3:AJ$3,VLOOKUP(B72,HilfeListe!M18:N38,2,0),AnmeldeListe!AB$19:AJ$19,"ü") +
COUNTIFS(AnmeldeListe!AB$3:AJ$3,VLOOKUP(B72,HilfeListe!M18:N38,2,0),AnmeldeListe!AB$20:AJ$20,"ü") +
COUNTIFS(AnmeldeListe!AB$3:AJ$3,VLOOKUP(B72,HilfeListe!M18:N38,2,0),AnmeldeListe!AB$21:AJ$21,"ü") +
COUNTIFS(AnmeldeListe!AB$3:AJ$3,VLOOKUP(B72,HilfeListe!M18:N38,2,0),AnmeldeListe!AB$22:AJ$22,"ü") +
COUNTIFS(AnmeldeListe!AB$3:AJ$3,VLOOKUP(B72,HilfeListe!M18:N38,2,0),AnmeldeListe!AB$23:AJ$23,"ü") +
COUNTIFS(AnmeldeListe!AB$3:AJ$3,VLOOKUP(B72,HilfeListe!M18:N38,2,0),AnmeldeListe!AB$24:AJ$24,"ü") +
COUNTIFS(AnmeldeListe!AB$3:AJ$3,VLOOKUP(B72,HilfeListe!M18:N38,2,0),AnmeldeListe!AB$25:AJ$25,"ü") +
COUNTIFS(AnmeldeListe!AB$3:AJ$3,VLOOKUP(B72,HilfeListe!M18:N38,2,0),AnmeldeListe!AB$26:AJ$26,"ü") +
COUNTIFS(AnmeldeListe!AB$3:AJ$3,VLOOKUP(B72,HilfeListe!M18:N38,2,0),AnmeldeListe!AB$27:AJ$27,"ü") +
COUNTIFS(AnmeldeListe!AB$3:AJ$3,VLOOKUP(B72,HilfeListe!M18:N38,2,0),AnmeldeListe!AB$28:AJ$28,"ü")</f>
        <v>0</v>
      </c>
      <c r="H72" s="687"/>
      <c r="I72" s="687"/>
    </row>
    <row r="73" spans="1:9">
      <c r="B73" s="702" t="s">
        <v>193</v>
      </c>
      <c r="C73" s="1116"/>
      <c r="D73" s="685">
        <v>0</v>
      </c>
      <c r="E73" s="685" t="s">
        <v>5</v>
      </c>
      <c r="F73" s="592"/>
      <c r="G73" s="786">
        <f>COUNTIFS(AnmeldeListe!AB$3:AJ$3,VLOOKUP(B73,HilfeListe!M19:N39,2,0),AnmeldeListe!AB$9:AJ$9,"ü") +
COUNTIFS(AnmeldeListe!AB$3:AJ$3,VLOOKUP(B73,HilfeListe!M19:N39,2,0),AnmeldeListe!AB$10:AJ$10,"ü") +
COUNTIFS(AnmeldeListe!AB$3:AJ$3,VLOOKUP(B73,HilfeListe!M19:N39,2,0),AnmeldeListe!AB$11:AJ$11,"ü") +
COUNTIFS(AnmeldeListe!AB$3:AJ$3,VLOOKUP(B73,HilfeListe!M19:N39,2,0),AnmeldeListe!AB$12:AJ$12,"ü") +
COUNTIFS(AnmeldeListe!AB$3:AJ$3,VLOOKUP(B73,HilfeListe!M19:N39,2,0),AnmeldeListe!AB$13:AJ$13,"ü") +
COUNTIFS(AnmeldeListe!AB$3:AJ$3,VLOOKUP(B73,HilfeListe!M19:N39,2,0),AnmeldeListe!AB$14:AJ$14,"ü") +
COUNTIFS(AnmeldeListe!AB$3:AJ$3,VLOOKUP(B73,HilfeListe!M19:N39,2,0),AnmeldeListe!AB$15:AJ$15,"ü") +
COUNTIFS(AnmeldeListe!AB$3:AJ$3,VLOOKUP(B73,HilfeListe!M19:N39,2,0),AnmeldeListe!AB$16:AJ$16,"ü") +
COUNTIFS(AnmeldeListe!AB$3:AJ$3,VLOOKUP(B73,HilfeListe!M19:N39,2,0),AnmeldeListe!AB$17:AJ$17,"ü") +
COUNTIFS(AnmeldeListe!AB$3:AJ$3,VLOOKUP(B73,HilfeListe!M19:N39,2,0),AnmeldeListe!AB$18:AJ$18,"ü") +
COUNTIFS(AnmeldeListe!AB$3:AJ$3,VLOOKUP(B73,HilfeListe!M19:N39,2,0),AnmeldeListe!AB$19:AJ$19,"ü") +
COUNTIFS(AnmeldeListe!AB$3:AJ$3,VLOOKUP(B73,HilfeListe!M19:N39,2,0),AnmeldeListe!AB$20:AJ$20,"ü") +
COUNTIFS(AnmeldeListe!AB$3:AJ$3,VLOOKUP(B73,HilfeListe!M19:N39,2,0),AnmeldeListe!AB$21:AJ$21,"ü") +
COUNTIFS(AnmeldeListe!AB$3:AJ$3,VLOOKUP(B73,HilfeListe!M19:N39,2,0),AnmeldeListe!AB$22:AJ$22,"ü") +
COUNTIFS(AnmeldeListe!AB$3:AJ$3,VLOOKUP(B73,HilfeListe!M19:N39,2,0),AnmeldeListe!AB$23:AJ$23,"ü") +
COUNTIFS(AnmeldeListe!AB$3:AJ$3,VLOOKUP(B73,HilfeListe!M19:N39,2,0),AnmeldeListe!AB$24:AJ$24,"ü") +
COUNTIFS(AnmeldeListe!AB$3:AJ$3,VLOOKUP(B73,HilfeListe!M19:N39,2,0),AnmeldeListe!AB$25:AJ$25,"ü") +
COUNTIFS(AnmeldeListe!AB$3:AJ$3,VLOOKUP(B73,HilfeListe!M19:N39,2,0),AnmeldeListe!AB$26:AJ$26,"ü") +
COUNTIFS(AnmeldeListe!AB$3:AJ$3,VLOOKUP(B73,HilfeListe!M19:N39,2,0),AnmeldeListe!AB$27:AJ$27,"ü") +
COUNTIFS(AnmeldeListe!AB$3:AJ$3,VLOOKUP(B73,HilfeListe!M19:N39,2,0),AnmeldeListe!AB$28:AJ$28,"ü")</f>
        <v>0</v>
      </c>
      <c r="H73" s="687"/>
      <c r="I73" s="687"/>
    </row>
    <row r="74" spans="1:9">
      <c r="B74" s="702" t="s">
        <v>194</v>
      </c>
      <c r="C74" s="1116"/>
      <c r="D74" s="685">
        <v>0</v>
      </c>
      <c r="E74" s="685" t="s">
        <v>5</v>
      </c>
      <c r="F74" s="592"/>
      <c r="G74" s="786">
        <f>COUNTIFS(AnmeldeListe!AB$3:AJ$3,VLOOKUP(B74,HilfeListe!M20:N40,2,0),AnmeldeListe!AB$9:AJ$9,"ü") +
COUNTIFS(AnmeldeListe!AB$3:AJ$3,VLOOKUP(B74,HilfeListe!M20:N40,2,0),AnmeldeListe!AB$10:AJ$10,"ü") +
COUNTIFS(AnmeldeListe!AB$3:AJ$3,VLOOKUP(B74,HilfeListe!M20:N40,2,0),AnmeldeListe!AB$11:AJ$11,"ü") +
COUNTIFS(AnmeldeListe!AB$3:AJ$3,VLOOKUP(B74,HilfeListe!M20:N40,2,0),AnmeldeListe!AB$12:AJ$12,"ü") +
COUNTIFS(AnmeldeListe!AB$3:AJ$3,VLOOKUP(B74,HilfeListe!M20:N40,2,0),AnmeldeListe!AB$13:AJ$13,"ü") +
COUNTIFS(AnmeldeListe!AB$3:AJ$3,VLOOKUP(B74,HilfeListe!M20:N40,2,0),AnmeldeListe!AB$14:AJ$14,"ü") +
COUNTIFS(AnmeldeListe!AB$3:AJ$3,VLOOKUP(B74,HilfeListe!M20:N40,2,0),AnmeldeListe!AB$15:AJ$15,"ü") +
COUNTIFS(AnmeldeListe!AB$3:AJ$3,VLOOKUP(B74,HilfeListe!M20:N40,2,0),AnmeldeListe!AB$16:AJ$16,"ü") +
COUNTIFS(AnmeldeListe!AB$3:AJ$3,VLOOKUP(B74,HilfeListe!M20:N40,2,0),AnmeldeListe!AB$17:AJ$17,"ü") +
COUNTIFS(AnmeldeListe!AB$3:AJ$3,VLOOKUP(B74,HilfeListe!M20:N40,2,0),AnmeldeListe!AB$18:AJ$18,"ü") +
COUNTIFS(AnmeldeListe!AB$3:AJ$3,VLOOKUP(B74,HilfeListe!M20:N40,2,0),AnmeldeListe!AB$19:AJ$19,"ü") +
COUNTIFS(AnmeldeListe!AB$3:AJ$3,VLOOKUP(B74,HilfeListe!M20:N40,2,0),AnmeldeListe!AB$20:AJ$20,"ü") +
COUNTIFS(AnmeldeListe!AB$3:AJ$3,VLOOKUP(B74,HilfeListe!M20:N40,2,0),AnmeldeListe!AB$21:AJ$21,"ü") +
COUNTIFS(AnmeldeListe!AB$3:AJ$3,VLOOKUP(B74,HilfeListe!M20:N40,2,0),AnmeldeListe!AB$22:AJ$22,"ü") +
COUNTIFS(AnmeldeListe!AB$3:AJ$3,VLOOKUP(B74,HilfeListe!M20:N40,2,0),AnmeldeListe!AB$23:AJ$23,"ü") +
COUNTIFS(AnmeldeListe!AB$3:AJ$3,VLOOKUP(B74,HilfeListe!M20:N40,2,0),AnmeldeListe!AB$24:AJ$24,"ü") +
COUNTIFS(AnmeldeListe!AB$3:AJ$3,VLOOKUP(B74,HilfeListe!M20:N40,2,0),AnmeldeListe!AB$25:AJ$25,"ü") +
COUNTIFS(AnmeldeListe!AB$3:AJ$3,VLOOKUP(B74,HilfeListe!M20:N40,2,0),AnmeldeListe!AB$26:AJ$26,"ü") +
COUNTIFS(AnmeldeListe!AB$3:AJ$3,VLOOKUP(B74,HilfeListe!M20:N40,2,0),AnmeldeListe!AB$27:AJ$27,"ü") +
COUNTIFS(AnmeldeListe!AB$3:AJ$3,VLOOKUP(B74,HilfeListe!M20:N40,2,0),AnmeldeListe!AB$28:AJ$28,"ü")</f>
        <v>0</v>
      </c>
      <c r="H74" s="687"/>
      <c r="I74" s="687"/>
    </row>
    <row r="75" spans="1:9">
      <c r="B75" s="702" t="s">
        <v>195</v>
      </c>
      <c r="C75" s="1116"/>
      <c r="D75" s="685">
        <v>6</v>
      </c>
      <c r="E75" s="685" t="s">
        <v>5</v>
      </c>
      <c r="F75" s="592"/>
      <c r="G75" s="786">
        <f>COUNTIFS(AnmeldeListe!AB$3:AJ$3,VLOOKUP(B75,HilfeListe!M21:N41,2,0),AnmeldeListe!AB$9:AJ$9,"ü") +
COUNTIFS(AnmeldeListe!AB$3:AJ$3,VLOOKUP(B75,HilfeListe!M21:N41,2,0),AnmeldeListe!AB$10:AJ$10,"ü") +
COUNTIFS(AnmeldeListe!AB$3:AJ$3,VLOOKUP(B75,HilfeListe!M21:N41,2,0),AnmeldeListe!AB$11:AJ$11,"ü") +
COUNTIFS(AnmeldeListe!AB$3:AJ$3,VLOOKUP(B75,HilfeListe!M21:N41,2,0),AnmeldeListe!AB$12:AJ$12,"ü") +
COUNTIFS(AnmeldeListe!AB$3:AJ$3,VLOOKUP(B75,HilfeListe!M21:N41,2,0),AnmeldeListe!AB$13:AJ$13,"ü") +
COUNTIFS(AnmeldeListe!AB$3:AJ$3,VLOOKUP(B75,HilfeListe!M21:N41,2,0),AnmeldeListe!AB$14:AJ$14,"ü") +
COUNTIFS(AnmeldeListe!AB$3:AJ$3,VLOOKUP(B75,HilfeListe!M21:N41,2,0),AnmeldeListe!AB$15:AJ$15,"ü") +
COUNTIFS(AnmeldeListe!AB$3:AJ$3,VLOOKUP(B75,HilfeListe!M21:N41,2,0),AnmeldeListe!AB$16:AJ$16,"ü") +
COUNTIFS(AnmeldeListe!AB$3:AJ$3,VLOOKUP(B75,HilfeListe!M21:N41,2,0),AnmeldeListe!AB$17:AJ$17,"ü") +
COUNTIFS(AnmeldeListe!AB$3:AJ$3,VLOOKUP(B75,HilfeListe!M21:N41,2,0),AnmeldeListe!AB$18:AJ$18,"ü") +
COUNTIFS(AnmeldeListe!AB$3:AJ$3,VLOOKUP(B75,HilfeListe!M21:N41,2,0),AnmeldeListe!AB$19:AJ$19,"ü") +
COUNTIFS(AnmeldeListe!AB$3:AJ$3,VLOOKUP(B75,HilfeListe!M21:N41,2,0),AnmeldeListe!AB$20:AJ$20,"ü") +
COUNTIFS(AnmeldeListe!AB$3:AJ$3,VLOOKUP(B75,HilfeListe!M21:N41,2,0),AnmeldeListe!AB$21:AJ$21,"ü") +
COUNTIFS(AnmeldeListe!AB$3:AJ$3,VLOOKUP(B75,HilfeListe!M21:N41,2,0),AnmeldeListe!AB$22:AJ$22,"ü") +
COUNTIFS(AnmeldeListe!AB$3:AJ$3,VLOOKUP(B75,HilfeListe!M21:N41,2,0),AnmeldeListe!AB$23:AJ$23,"ü") +
COUNTIFS(AnmeldeListe!AB$3:AJ$3,VLOOKUP(B75,HilfeListe!M21:N41,2,0),AnmeldeListe!AB$24:AJ$24,"ü") +
COUNTIFS(AnmeldeListe!AB$3:AJ$3,VLOOKUP(B75,HilfeListe!M21:N41,2,0),AnmeldeListe!AB$25:AJ$25,"ü") +
COUNTIFS(AnmeldeListe!AB$3:AJ$3,VLOOKUP(B75,HilfeListe!M21:N41,2,0),AnmeldeListe!AB$26:AJ$26,"ü") +
COUNTIFS(AnmeldeListe!AB$3:AJ$3,VLOOKUP(B75,HilfeListe!M21:N41,2,0),AnmeldeListe!AB$27:AJ$27,"ü") +
COUNTIFS(AnmeldeListe!AB$3:AJ$3,VLOOKUP(B75,HilfeListe!M21:N41,2,0),AnmeldeListe!AB$28:AJ$28,"ü")</f>
        <v>4</v>
      </c>
      <c r="H75" s="687"/>
      <c r="I75" s="687"/>
    </row>
    <row r="76" spans="1:9">
      <c r="B76" s="601" t="s">
        <v>196</v>
      </c>
      <c r="C76" s="1117"/>
      <c r="D76" s="656">
        <v>0</v>
      </c>
      <c r="E76" s="656" t="s">
        <v>5</v>
      </c>
      <c r="F76" s="703"/>
      <c r="G76" s="786">
        <f>COUNTIFS(AnmeldeListe!AB$3:AJ$3,VLOOKUP(B76,HilfeListe!M22:N42,2,0),AnmeldeListe!AB$9:AJ$9,"ü") +
COUNTIFS(AnmeldeListe!AB$3:AJ$3,VLOOKUP(B76,HilfeListe!M22:N42,2,0),AnmeldeListe!AB$10:AJ$10,"ü") +
COUNTIFS(AnmeldeListe!AB$3:AJ$3,VLOOKUP(B76,HilfeListe!M22:N42,2,0),AnmeldeListe!AB$11:AJ$11,"ü") +
COUNTIFS(AnmeldeListe!AB$3:AJ$3,VLOOKUP(B76,HilfeListe!M22:N42,2,0),AnmeldeListe!AB$12:AJ$12,"ü") +
COUNTIFS(AnmeldeListe!AB$3:AJ$3,VLOOKUP(B76,HilfeListe!M22:N42,2,0),AnmeldeListe!AB$13:AJ$13,"ü") +
COUNTIFS(AnmeldeListe!AB$3:AJ$3,VLOOKUP(B76,HilfeListe!M22:N42,2,0),AnmeldeListe!AB$14:AJ$14,"ü") +
COUNTIFS(AnmeldeListe!AB$3:AJ$3,VLOOKUP(B76,HilfeListe!M22:N42,2,0),AnmeldeListe!AB$15:AJ$15,"ü") +
COUNTIFS(AnmeldeListe!AB$3:AJ$3,VLOOKUP(B76,HilfeListe!M22:N42,2,0),AnmeldeListe!AB$16:AJ$16,"ü") +
COUNTIFS(AnmeldeListe!AB$3:AJ$3,VLOOKUP(B76,HilfeListe!M22:N42,2,0),AnmeldeListe!AB$17:AJ$17,"ü") +
COUNTIFS(AnmeldeListe!AB$3:AJ$3,VLOOKUP(B76,HilfeListe!M22:N42,2,0),AnmeldeListe!AB$18:AJ$18,"ü") +
COUNTIFS(AnmeldeListe!AB$3:AJ$3,VLOOKUP(B76,HilfeListe!M22:N42,2,0),AnmeldeListe!AB$19:AJ$19,"ü") +
COUNTIFS(AnmeldeListe!AB$3:AJ$3,VLOOKUP(B76,HilfeListe!M22:N42,2,0),AnmeldeListe!AB$20:AJ$20,"ü") +
COUNTIFS(AnmeldeListe!AB$3:AJ$3,VLOOKUP(B76,HilfeListe!M22:N42,2,0),AnmeldeListe!AB$21:AJ$21,"ü") +
COUNTIFS(AnmeldeListe!AB$3:AJ$3,VLOOKUP(B76,HilfeListe!M22:N42,2,0),AnmeldeListe!AB$22:AJ$22,"ü") +
COUNTIFS(AnmeldeListe!AB$3:AJ$3,VLOOKUP(B76,HilfeListe!M22:N42,2,0),AnmeldeListe!AB$23:AJ$23,"ü") +
COUNTIFS(AnmeldeListe!AB$3:AJ$3,VLOOKUP(B76,HilfeListe!M22:N42,2,0),AnmeldeListe!AB$24:AJ$24,"ü") +
COUNTIFS(AnmeldeListe!AB$3:AJ$3,VLOOKUP(B76,HilfeListe!M22:N42,2,0),AnmeldeListe!AB$25:AJ$25,"ü") +
COUNTIFS(AnmeldeListe!AB$3:AJ$3,VLOOKUP(B76,HilfeListe!M22:N42,2,0),AnmeldeListe!AB$26:AJ$26,"ü") +
COUNTIFS(AnmeldeListe!AB$3:AJ$3,VLOOKUP(B76,HilfeListe!M22:N42,2,0),AnmeldeListe!AB$27:AJ$27,"ü") +
COUNTIFS(AnmeldeListe!AB$3:AJ$3,VLOOKUP(B76,HilfeListe!M22:N42,2,0),AnmeldeListe!AB$28:AJ$28,"ü")</f>
        <v>0</v>
      </c>
      <c r="H76" s="692"/>
      <c r="I76" s="692"/>
    </row>
    <row r="77" spans="1:9">
      <c r="A77" s="704"/>
      <c r="B77" s="705"/>
      <c r="C77" s="706"/>
      <c r="D77" s="707"/>
      <c r="E77" s="707"/>
      <c r="F77" s="708"/>
      <c r="G77" s="709"/>
      <c r="H77" s="709"/>
      <c r="I77" s="709"/>
    </row>
    <row r="78" spans="1:9">
      <c r="B78" s="601"/>
      <c r="C78" s="1116"/>
      <c r="D78" s="685"/>
      <c r="E78" s="685"/>
      <c r="F78" s="710"/>
      <c r="G78" s="711"/>
      <c r="H78" s="711"/>
      <c r="I78" s="711"/>
    </row>
    <row r="79" spans="1:9">
      <c r="B79" s="601"/>
      <c r="C79" s="1118"/>
      <c r="D79" s="685"/>
      <c r="E79" s="685"/>
      <c r="F79" s="712"/>
      <c r="G79" s="711"/>
      <c r="H79" s="711"/>
      <c r="I79" s="711"/>
    </row>
    <row r="80" spans="1:9">
      <c r="B80" s="601"/>
      <c r="C80" s="1118"/>
      <c r="D80" s="685"/>
      <c r="E80" s="685"/>
      <c r="F80" s="712"/>
      <c r="G80" s="711"/>
      <c r="H80" s="711"/>
      <c r="I80" s="711"/>
    </row>
    <row r="81" spans="1:9">
      <c r="B81" s="601"/>
      <c r="C81" s="1118"/>
      <c r="D81" s="685"/>
      <c r="E81" s="685"/>
      <c r="F81" s="712"/>
      <c r="G81" s="711"/>
      <c r="H81" s="711"/>
      <c r="I81" s="711"/>
    </row>
    <row r="82" spans="1:9">
      <c r="B82" s="601"/>
      <c r="C82" s="1118"/>
      <c r="D82" s="685"/>
      <c r="E82" s="685"/>
      <c r="F82" s="712"/>
      <c r="G82" s="711"/>
      <c r="H82" s="711"/>
      <c r="I82" s="711"/>
    </row>
    <row r="83" spans="1:9">
      <c r="A83" s="713" t="s">
        <v>197</v>
      </c>
      <c r="B83" s="714"/>
      <c r="C83" s="715" t="s">
        <v>198</v>
      </c>
      <c r="D83" s="716"/>
      <c r="E83" s="716"/>
      <c r="F83" s="717"/>
      <c r="G83" s="718" t="str">
        <f t="shared" ref="G83:I83" si="8">IF(COUNTA(G84:G87)=0,"LEER",IF(G85+G86+G87&lt;&gt;1,"PROZENT FEHLER",IF(G84=0,"KEINE MAHLZEITEN","OK")))</f>
        <v>OK</v>
      </c>
      <c r="H83" s="718" t="str">
        <f t="shared" si="8"/>
        <v>LEER</v>
      </c>
      <c r="I83" s="718" t="str">
        <f t="shared" si="8"/>
        <v>LEER</v>
      </c>
    </row>
    <row r="84" spans="1:9" ht="25.5">
      <c r="B84" s="612" t="s">
        <v>199</v>
      </c>
      <c r="C84" s="607" t="s">
        <v>200</v>
      </c>
      <c r="D84" s="685">
        <v>20</v>
      </c>
      <c r="E84" s="685" t="s">
        <v>201</v>
      </c>
      <c r="F84" s="594"/>
      <c r="G84" s="788">
        <f>2*SUM(AnmeldeListe!AA31:AJ31)/AnmeldeListe!D3</f>
        <v>4</v>
      </c>
      <c r="H84" s="719"/>
      <c r="I84" s="719"/>
    </row>
    <row r="85" spans="1:9">
      <c r="B85" s="684" t="s">
        <v>202</v>
      </c>
      <c r="C85" s="613" t="s">
        <v>203</v>
      </c>
      <c r="D85" s="614">
        <v>0.4</v>
      </c>
      <c r="E85" s="685"/>
      <c r="F85" s="594"/>
      <c r="G85" s="789">
        <f>COUNTIF(AnmeldeListe!$AV$9:$AV$29,AnmeldeListe!AV5)/AnmeldeListe!$A$8</f>
        <v>0</v>
      </c>
      <c r="H85" s="720"/>
      <c r="I85" s="720"/>
    </row>
    <row r="86" spans="1:9">
      <c r="B86" s="684" t="s">
        <v>204</v>
      </c>
      <c r="C86" s="613" t="s">
        <v>205</v>
      </c>
      <c r="D86" s="614">
        <v>0</v>
      </c>
      <c r="E86" s="685"/>
      <c r="F86" s="594"/>
      <c r="G86" s="789">
        <f>COUNTIF(AnmeldeListe!$AV$9:$AV$29,AnmeldeListe!AV6)/AnmeldeListe!$A$8</f>
        <v>0.5</v>
      </c>
      <c r="H86" s="720"/>
      <c r="I86" s="720"/>
    </row>
    <row r="87" spans="1:9" ht="25.5">
      <c r="B87" s="721" t="s">
        <v>206</v>
      </c>
      <c r="C87" s="722" t="s">
        <v>207</v>
      </c>
      <c r="D87" s="620">
        <v>0.6</v>
      </c>
      <c r="E87" s="723"/>
      <c r="F87" s="691"/>
      <c r="G87" s="790">
        <f>1-G85-G86</f>
        <v>0.5</v>
      </c>
      <c r="H87" s="724"/>
      <c r="I87" s="724"/>
    </row>
    <row r="88" spans="1:9">
      <c r="A88" s="725" t="s">
        <v>208</v>
      </c>
      <c r="B88" s="726"/>
      <c r="C88" s="630"/>
      <c r="D88" s="631"/>
      <c r="E88" s="631"/>
      <c r="F88" s="727"/>
      <c r="G88" s="640" t="str">
        <f t="shared" ref="G88:I88" si="9">IF(COUNTA(G89:G90)=0,"LEER",IF(OR(AND(G90="Andere (z.B. Tagungsraum)",COUNTA(G91)=0),AND(G90&lt;&gt;"Andere (z.B. Tagungsraum)",COUNTA(G91)&gt;0)),"FEHLER",IF(COUNTA(G89:G90)=2,"OK","FEHLER")))</f>
        <v>LEER</v>
      </c>
      <c r="H88" s="640" t="str">
        <f t="shared" si="9"/>
        <v>LEER</v>
      </c>
      <c r="I88" s="640" t="str">
        <f t="shared" si="9"/>
        <v>LEER</v>
      </c>
    </row>
    <row r="89" spans="1:9" ht="25.5">
      <c r="B89" s="728" t="s">
        <v>209</v>
      </c>
      <c r="C89" s="729" t="s">
        <v>210</v>
      </c>
      <c r="D89" s="730" t="s">
        <v>211</v>
      </c>
      <c r="E89" s="730"/>
      <c r="F89" s="731"/>
      <c r="G89" s="732"/>
      <c r="H89" s="732"/>
      <c r="I89" s="732"/>
    </row>
    <row r="90" spans="1:9" ht="25.5">
      <c r="B90" s="733" t="s">
        <v>208</v>
      </c>
      <c r="C90" s="734" t="s">
        <v>212</v>
      </c>
      <c r="D90" s="735" t="s">
        <v>213</v>
      </c>
      <c r="E90" s="685"/>
      <c r="F90" s="686"/>
      <c r="G90" s="736"/>
      <c r="H90" s="736"/>
      <c r="I90" s="736"/>
    </row>
    <row r="91" spans="1:9">
      <c r="B91" s="737" t="s">
        <v>214</v>
      </c>
      <c r="C91" s="619" t="s">
        <v>215</v>
      </c>
      <c r="D91" s="738">
        <v>50</v>
      </c>
      <c r="E91" s="738" t="s">
        <v>216</v>
      </c>
      <c r="F91" s="739"/>
      <c r="G91" s="692"/>
      <c r="H91" s="692"/>
      <c r="I91" s="692"/>
    </row>
    <row r="92" spans="1:9">
      <c r="A92" s="740" t="s">
        <v>217</v>
      </c>
      <c r="B92" s="741"/>
      <c r="C92" s="742"/>
      <c r="D92" s="743"/>
      <c r="E92" s="743"/>
      <c r="F92" s="744"/>
      <c r="G92" s="683" t="str">
        <f t="shared" ref="G92:I92" si="10">IF(COUNTA(G93:G97)=0,"LEER",IF(AND(COUNTA(G95:G96)=2,COUNTA(G93)=1),"OK KOMPLEX",IF(AND(COUNTA(G97:G97)=1,COUNTA(G93)=1),"OK EINFACH","FEHLER")))</f>
        <v>LEER</v>
      </c>
      <c r="H92" s="683" t="str">
        <f t="shared" si="10"/>
        <v>LEER</v>
      </c>
      <c r="I92" s="683" t="str">
        <f t="shared" si="10"/>
        <v>LEER</v>
      </c>
    </row>
    <row r="93" spans="1:9">
      <c r="B93" s="612" t="s">
        <v>218</v>
      </c>
      <c r="C93" s="613" t="s">
        <v>219</v>
      </c>
      <c r="D93" s="745" t="s">
        <v>220</v>
      </c>
      <c r="E93" s="745"/>
      <c r="F93" s="746"/>
      <c r="G93" s="747"/>
      <c r="H93" s="747"/>
      <c r="I93" s="747"/>
    </row>
    <row r="94" spans="1:9">
      <c r="A94" s="748"/>
      <c r="B94" s="581" t="s">
        <v>134</v>
      </c>
      <c r="C94" s="597"/>
      <c r="D94" s="749"/>
      <c r="E94" s="749"/>
      <c r="F94" s="750"/>
      <c r="G94" s="751"/>
      <c r="H94" s="751"/>
      <c r="I94" s="751"/>
    </row>
    <row r="95" spans="1:9">
      <c r="B95" s="587" t="s">
        <v>221</v>
      </c>
      <c r="C95" s="590" t="str">
        <f>IF([1]Start!$D$14="DE","Gewicht der zur Eventlocation gebrachten Materialien","Total weight of Materials transported to the Event-Location")</f>
        <v>Gewicht der zur Eventlocation gebrachten Materialien</v>
      </c>
      <c r="D95" s="745">
        <v>50</v>
      </c>
      <c r="E95" s="745" t="s">
        <v>222</v>
      </c>
      <c r="F95" s="752"/>
      <c r="G95" s="666"/>
      <c r="H95" s="666"/>
      <c r="I95" s="666"/>
    </row>
    <row r="96" spans="1:9">
      <c r="A96" s="595"/>
      <c r="B96" s="753" t="str">
        <f>IF([1]Start!$D$14="DE","Anfahrt Materialien in Kilometer","Distance of Material Transports (km)")</f>
        <v>Anfahrt Materialien in Kilometer</v>
      </c>
      <c r="C96" s="754" t="str">
        <f>IF([1]Start!$D$14="DE","Durchschnittliche Distanz zum Transport der Materialien","Average Distance for Material Transports")</f>
        <v>Durchschnittliche Distanz zum Transport der Materialien</v>
      </c>
      <c r="D96" s="755">
        <v>150</v>
      </c>
      <c r="E96" s="755" t="s">
        <v>46</v>
      </c>
      <c r="F96" s="756"/>
      <c r="G96" s="757"/>
      <c r="H96" s="757"/>
      <c r="I96" s="757"/>
    </row>
    <row r="97" spans="1:9" ht="25.5">
      <c r="A97" s="758"/>
      <c r="B97" s="759" t="s">
        <v>223</v>
      </c>
      <c r="C97" s="760" t="s">
        <v>224</v>
      </c>
      <c r="D97" s="761">
        <v>2500</v>
      </c>
      <c r="E97" s="761" t="s">
        <v>174</v>
      </c>
      <c r="F97" s="762"/>
      <c r="G97" s="763"/>
      <c r="H97" s="763"/>
      <c r="I97" s="763"/>
    </row>
    <row r="98" spans="1:9">
      <c r="A98" s="764"/>
      <c r="B98" s="764"/>
      <c r="C98" s="764"/>
      <c r="D98" s="764"/>
      <c r="E98" s="764"/>
      <c r="F98" s="764"/>
      <c r="G98" s="764"/>
      <c r="H98" s="764"/>
      <c r="I98" s="764"/>
    </row>
    <row r="99" spans="1:9" ht="13.5" thickBot="1">
      <c r="A99" s="765"/>
      <c r="B99" s="765"/>
      <c r="C99" s="765"/>
      <c r="D99" s="765"/>
      <c r="E99" s="765"/>
      <c r="F99" s="765"/>
      <c r="G99" s="765"/>
      <c r="H99" s="765"/>
      <c r="I99" s="765"/>
    </row>
    <row r="100" spans="1:9" ht="13.5" thickTop="1">
      <c r="F100" s="520"/>
      <c r="G100" s="520"/>
      <c r="H100" s="520"/>
      <c r="I100" s="520"/>
    </row>
    <row r="101" spans="1:9">
      <c r="F101" s="520"/>
      <c r="G101" s="520"/>
      <c r="H101" s="520"/>
      <c r="I101" s="520"/>
    </row>
    <row r="102" spans="1:9">
      <c r="F102" s="520"/>
      <c r="G102" s="520"/>
      <c r="H102" s="520"/>
      <c r="I102" s="520"/>
    </row>
    <row r="103" spans="1:9">
      <c r="F103" s="520"/>
      <c r="G103" s="520"/>
      <c r="H103" s="520"/>
      <c r="I103" s="520"/>
    </row>
    <row r="104" spans="1:9">
      <c r="F104" s="520"/>
      <c r="G104" s="520"/>
      <c r="H104" s="520"/>
      <c r="I104" s="520"/>
    </row>
    <row r="105" spans="1:9">
      <c r="F105" s="520"/>
      <c r="G105" s="520"/>
      <c r="H105" s="520"/>
      <c r="I105" s="520"/>
    </row>
    <row r="106" spans="1:9">
      <c r="F106" s="520"/>
      <c r="G106" s="520"/>
      <c r="H106" s="520"/>
      <c r="I106" s="520"/>
    </row>
    <row r="107" spans="1:9">
      <c r="F107" s="520"/>
      <c r="G107" s="520"/>
      <c r="H107" s="520"/>
      <c r="I107" s="520"/>
    </row>
    <row r="108" spans="1:9">
      <c r="F108" s="520"/>
      <c r="G108" s="520"/>
      <c r="H108" s="520"/>
      <c r="I108" s="520"/>
    </row>
    <row r="109" spans="1:9">
      <c r="F109" s="520"/>
      <c r="G109" s="520"/>
      <c r="H109" s="520"/>
      <c r="I109" s="520"/>
    </row>
    <row r="110" spans="1:9">
      <c r="F110" s="520"/>
      <c r="G110" s="520"/>
      <c r="H110" s="520"/>
      <c r="I110" s="520"/>
    </row>
    <row r="111" spans="1:9">
      <c r="F111" s="520"/>
      <c r="G111" s="520"/>
      <c r="H111" s="520"/>
      <c r="I111" s="520"/>
    </row>
    <row r="112" spans="1:9">
      <c r="F112" s="520"/>
      <c r="G112" s="520"/>
      <c r="H112" s="520"/>
      <c r="I112" s="520"/>
    </row>
    <row r="113" spans="6:9">
      <c r="F113" s="520"/>
      <c r="G113" s="520"/>
      <c r="H113" s="520"/>
      <c r="I113" s="520"/>
    </row>
    <row r="114" spans="6:9">
      <c r="F114" s="520"/>
      <c r="G114" s="520"/>
      <c r="H114" s="520"/>
      <c r="I114" s="520"/>
    </row>
    <row r="115" spans="6:9">
      <c r="F115" s="520"/>
      <c r="G115" s="520"/>
      <c r="H115" s="520"/>
      <c r="I115" s="520"/>
    </row>
    <row r="116" spans="6:9">
      <c r="F116" s="520"/>
      <c r="G116" s="520"/>
      <c r="H116" s="520"/>
      <c r="I116" s="520"/>
    </row>
    <row r="117" spans="6:9">
      <c r="F117" s="520"/>
      <c r="G117" s="520"/>
      <c r="H117" s="520"/>
      <c r="I117" s="520"/>
    </row>
    <row r="118" spans="6:9">
      <c r="F118" s="520"/>
      <c r="G118" s="520"/>
      <c r="H118" s="520"/>
      <c r="I118" s="520"/>
    </row>
    <row r="119" spans="6:9">
      <c r="F119" s="520"/>
      <c r="G119" s="520"/>
      <c r="H119" s="520"/>
      <c r="I119" s="520"/>
    </row>
    <row r="120" spans="6:9">
      <c r="F120" s="520"/>
      <c r="G120" s="520"/>
      <c r="H120" s="520"/>
      <c r="I120" s="520"/>
    </row>
    <row r="121" spans="6:9">
      <c r="F121" s="520"/>
      <c r="G121" s="520"/>
      <c r="H121" s="520"/>
      <c r="I121" s="520"/>
    </row>
    <row r="122" spans="6:9">
      <c r="F122" s="520"/>
      <c r="G122" s="520"/>
      <c r="H122" s="520"/>
      <c r="I122" s="520"/>
    </row>
    <row r="123" spans="6:9">
      <c r="F123" s="520"/>
      <c r="G123" s="520"/>
      <c r="H123" s="520"/>
      <c r="I123" s="520"/>
    </row>
    <row r="124" spans="6:9">
      <c r="F124" s="520"/>
      <c r="G124" s="520"/>
      <c r="H124" s="520"/>
      <c r="I124" s="520"/>
    </row>
    <row r="125" spans="6:9">
      <c r="F125" s="520"/>
      <c r="G125" s="520"/>
      <c r="H125" s="520"/>
      <c r="I125" s="520"/>
    </row>
    <row r="126" spans="6:9">
      <c r="F126" s="520"/>
      <c r="G126" s="520"/>
      <c r="H126" s="520"/>
      <c r="I126" s="520"/>
    </row>
    <row r="127" spans="6:9">
      <c r="F127" s="520"/>
      <c r="G127" s="520"/>
      <c r="H127" s="520"/>
      <c r="I127" s="520"/>
    </row>
    <row r="128" spans="6:9">
      <c r="F128" s="520"/>
      <c r="G128" s="520"/>
      <c r="H128" s="520"/>
      <c r="I128" s="520"/>
    </row>
    <row r="129" spans="6:9">
      <c r="F129" s="520"/>
      <c r="G129" s="520"/>
      <c r="H129" s="520"/>
      <c r="I129" s="520"/>
    </row>
    <row r="130" spans="6:9">
      <c r="F130" s="520"/>
      <c r="G130" s="520"/>
      <c r="H130" s="520"/>
      <c r="I130" s="520"/>
    </row>
    <row r="131" spans="6:9">
      <c r="F131" s="520"/>
      <c r="G131" s="520"/>
      <c r="H131" s="520"/>
      <c r="I131" s="520"/>
    </row>
    <row r="132" spans="6:9">
      <c r="F132" s="520"/>
      <c r="G132" s="520"/>
      <c r="H132" s="520"/>
      <c r="I132" s="520"/>
    </row>
    <row r="133" spans="6:9">
      <c r="F133" s="520"/>
      <c r="G133" s="520"/>
      <c r="H133" s="520"/>
      <c r="I133" s="520"/>
    </row>
    <row r="134" spans="6:9">
      <c r="F134" s="520"/>
      <c r="G134" s="520"/>
      <c r="H134" s="520"/>
      <c r="I134" s="520"/>
    </row>
    <row r="135" spans="6:9">
      <c r="F135" s="520"/>
      <c r="G135" s="520"/>
      <c r="H135" s="520"/>
      <c r="I135" s="520"/>
    </row>
    <row r="136" spans="6:9">
      <c r="F136" s="520"/>
      <c r="G136" s="520"/>
      <c r="H136" s="520"/>
      <c r="I136" s="520"/>
    </row>
    <row r="137" spans="6:9">
      <c r="F137" s="520"/>
      <c r="G137" s="520"/>
      <c r="H137" s="520"/>
      <c r="I137" s="520"/>
    </row>
    <row r="138" spans="6:9">
      <c r="F138" s="520"/>
      <c r="G138" s="520"/>
      <c r="H138" s="520"/>
      <c r="I138" s="520"/>
    </row>
    <row r="139" spans="6:9">
      <c r="F139" s="520"/>
      <c r="G139" s="520"/>
      <c r="H139" s="520"/>
      <c r="I139" s="520"/>
    </row>
    <row r="140" spans="6:9">
      <c r="F140" s="520"/>
      <c r="G140" s="520"/>
      <c r="H140" s="520"/>
      <c r="I140" s="520"/>
    </row>
    <row r="141" spans="6:9">
      <c r="F141" s="520"/>
      <c r="G141" s="520"/>
      <c r="H141" s="520"/>
      <c r="I141" s="520"/>
    </row>
    <row r="142" spans="6:9">
      <c r="F142" s="520"/>
      <c r="G142" s="520"/>
      <c r="H142" s="520"/>
      <c r="I142" s="520"/>
    </row>
    <row r="143" spans="6:9">
      <c r="F143" s="520"/>
      <c r="G143" s="520"/>
      <c r="H143" s="520"/>
      <c r="I143" s="520"/>
    </row>
    <row r="144" spans="6:9">
      <c r="F144" s="520"/>
      <c r="G144" s="520"/>
      <c r="H144" s="520"/>
      <c r="I144" s="520"/>
    </row>
    <row r="145" spans="6:9">
      <c r="F145" s="520"/>
      <c r="G145" s="520"/>
      <c r="H145" s="520"/>
      <c r="I145" s="520"/>
    </row>
    <row r="146" spans="6:9">
      <c r="F146" s="520"/>
      <c r="G146" s="520"/>
      <c r="H146" s="520"/>
      <c r="I146" s="520"/>
    </row>
    <row r="147" spans="6:9">
      <c r="F147" s="520"/>
      <c r="G147" s="520"/>
      <c r="H147" s="520"/>
      <c r="I147" s="520"/>
    </row>
    <row r="148" spans="6:9">
      <c r="F148" s="520"/>
      <c r="G148" s="520"/>
      <c r="H148" s="520"/>
      <c r="I148" s="520"/>
    </row>
    <row r="149" spans="6:9">
      <c r="F149" s="520"/>
      <c r="G149" s="520"/>
      <c r="H149" s="520"/>
      <c r="I149" s="520"/>
    </row>
    <row r="150" spans="6:9">
      <c r="F150" s="520"/>
      <c r="G150" s="520"/>
      <c r="H150" s="520"/>
      <c r="I150" s="520"/>
    </row>
    <row r="151" spans="6:9">
      <c r="F151" s="520"/>
      <c r="G151" s="520"/>
      <c r="H151" s="520"/>
      <c r="I151" s="520"/>
    </row>
    <row r="152" spans="6:9">
      <c r="F152" s="520"/>
      <c r="G152" s="520"/>
      <c r="H152" s="520"/>
      <c r="I152" s="520"/>
    </row>
    <row r="153" spans="6:9">
      <c r="F153" s="520"/>
      <c r="G153" s="520"/>
      <c r="H153" s="520"/>
      <c r="I153" s="520"/>
    </row>
    <row r="154" spans="6:9">
      <c r="F154" s="520"/>
      <c r="G154" s="520"/>
      <c r="H154" s="520"/>
      <c r="I154" s="520"/>
    </row>
    <row r="155" spans="6:9">
      <c r="F155" s="520"/>
      <c r="G155" s="520"/>
      <c r="H155" s="520"/>
      <c r="I155" s="520"/>
    </row>
    <row r="156" spans="6:9">
      <c r="F156" s="520"/>
      <c r="G156" s="520"/>
      <c r="H156" s="520"/>
      <c r="I156" s="520"/>
    </row>
    <row r="157" spans="6:9">
      <c r="F157" s="520"/>
      <c r="G157" s="520"/>
      <c r="H157" s="520"/>
      <c r="I157" s="520"/>
    </row>
    <row r="158" spans="6:9">
      <c r="F158" s="520"/>
      <c r="G158" s="520"/>
      <c r="H158" s="520"/>
      <c r="I158" s="520"/>
    </row>
    <row r="159" spans="6:9">
      <c r="F159" s="520"/>
      <c r="G159" s="520"/>
      <c r="H159" s="520"/>
      <c r="I159" s="520"/>
    </row>
    <row r="160" spans="6:9">
      <c r="F160" s="520"/>
      <c r="G160" s="520"/>
      <c r="H160" s="520"/>
      <c r="I160" s="520"/>
    </row>
    <row r="161" spans="6:9">
      <c r="F161" s="520"/>
      <c r="G161" s="520"/>
      <c r="H161" s="520"/>
      <c r="I161" s="520"/>
    </row>
    <row r="162" spans="6:9">
      <c r="F162" s="520"/>
      <c r="G162" s="520"/>
      <c r="H162" s="520"/>
      <c r="I162" s="520"/>
    </row>
    <row r="163" spans="6:9">
      <c r="F163" s="520"/>
      <c r="G163" s="520"/>
      <c r="H163" s="520"/>
      <c r="I163" s="520"/>
    </row>
    <row r="164" spans="6:9">
      <c r="F164" s="520"/>
      <c r="G164" s="520"/>
      <c r="H164" s="520"/>
      <c r="I164" s="520"/>
    </row>
    <row r="165" spans="6:9">
      <c r="F165" s="520"/>
      <c r="G165" s="520"/>
      <c r="H165" s="520"/>
      <c r="I165" s="520"/>
    </row>
    <row r="166" spans="6:9">
      <c r="F166" s="520"/>
      <c r="G166" s="520"/>
      <c r="H166" s="520"/>
      <c r="I166" s="520"/>
    </row>
    <row r="167" spans="6:9">
      <c r="F167" s="520"/>
      <c r="G167" s="520"/>
      <c r="H167" s="520"/>
      <c r="I167" s="520"/>
    </row>
    <row r="168" spans="6:9">
      <c r="F168" s="520"/>
      <c r="G168" s="520"/>
      <c r="H168" s="520"/>
      <c r="I168" s="520"/>
    </row>
    <row r="169" spans="6:9">
      <c r="F169" s="520"/>
      <c r="G169" s="520"/>
      <c r="H169" s="520"/>
      <c r="I169" s="520"/>
    </row>
    <row r="170" spans="6:9">
      <c r="F170" s="520"/>
      <c r="G170" s="520"/>
      <c r="H170" s="520"/>
      <c r="I170" s="520"/>
    </row>
    <row r="171" spans="6:9">
      <c r="F171" s="520"/>
      <c r="G171" s="520"/>
      <c r="H171" s="520"/>
      <c r="I171" s="520"/>
    </row>
    <row r="172" spans="6:9">
      <c r="F172" s="520"/>
      <c r="G172" s="520"/>
      <c r="H172" s="520"/>
      <c r="I172" s="520"/>
    </row>
    <row r="173" spans="6:9">
      <c r="F173" s="520"/>
      <c r="G173" s="520"/>
      <c r="H173" s="520"/>
      <c r="I173" s="520"/>
    </row>
    <row r="174" spans="6:9">
      <c r="F174" s="520"/>
      <c r="G174" s="520"/>
      <c r="H174" s="520"/>
      <c r="I174" s="520"/>
    </row>
    <row r="175" spans="6:9">
      <c r="F175" s="520"/>
      <c r="G175" s="520"/>
      <c r="H175" s="520"/>
      <c r="I175" s="520"/>
    </row>
    <row r="176" spans="6:9">
      <c r="F176" s="520"/>
      <c r="G176" s="520"/>
      <c r="H176" s="520"/>
      <c r="I176" s="520"/>
    </row>
    <row r="177" spans="6:9">
      <c r="F177" s="520"/>
      <c r="G177" s="520"/>
      <c r="H177" s="520"/>
      <c r="I177" s="520"/>
    </row>
    <row r="178" spans="6:9">
      <c r="F178" s="520"/>
      <c r="G178" s="520"/>
      <c r="H178" s="520"/>
      <c r="I178" s="520"/>
    </row>
    <row r="179" spans="6:9">
      <c r="F179" s="520"/>
      <c r="G179" s="520"/>
      <c r="H179" s="520"/>
      <c r="I179" s="520"/>
    </row>
    <row r="180" spans="6:9">
      <c r="F180" s="520"/>
      <c r="G180" s="520"/>
      <c r="H180" s="520"/>
      <c r="I180" s="520"/>
    </row>
    <row r="181" spans="6:9">
      <c r="F181" s="520"/>
      <c r="G181" s="520"/>
      <c r="H181" s="520"/>
      <c r="I181" s="520"/>
    </row>
    <row r="182" spans="6:9">
      <c r="F182" s="520"/>
      <c r="G182" s="520"/>
      <c r="H182" s="520"/>
      <c r="I182" s="520"/>
    </row>
    <row r="183" spans="6:9">
      <c r="F183" s="520"/>
      <c r="G183" s="520"/>
      <c r="H183" s="520"/>
      <c r="I183" s="520"/>
    </row>
    <row r="184" spans="6:9">
      <c r="F184" s="520"/>
      <c r="G184" s="520"/>
      <c r="H184" s="520"/>
      <c r="I184" s="520"/>
    </row>
    <row r="185" spans="6:9">
      <c r="F185" s="520"/>
      <c r="G185" s="520"/>
      <c r="H185" s="520"/>
      <c r="I185" s="520"/>
    </row>
    <row r="186" spans="6:9">
      <c r="F186" s="520"/>
      <c r="G186" s="520"/>
      <c r="H186" s="520"/>
      <c r="I186" s="520"/>
    </row>
    <row r="187" spans="6:9">
      <c r="F187" s="520"/>
      <c r="G187" s="520"/>
      <c r="H187" s="520"/>
      <c r="I187" s="520"/>
    </row>
    <row r="188" spans="6:9">
      <c r="F188" s="520"/>
      <c r="G188" s="520"/>
      <c r="H188" s="520"/>
      <c r="I188" s="520"/>
    </row>
    <row r="189" spans="6:9">
      <c r="F189" s="520"/>
      <c r="G189" s="520"/>
      <c r="H189" s="520"/>
      <c r="I189" s="520"/>
    </row>
    <row r="190" spans="6:9">
      <c r="F190" s="520"/>
      <c r="G190" s="520"/>
      <c r="H190" s="520"/>
      <c r="I190" s="520"/>
    </row>
    <row r="191" spans="6:9">
      <c r="F191" s="520"/>
      <c r="G191" s="520"/>
      <c r="H191" s="520"/>
      <c r="I191" s="520"/>
    </row>
    <row r="192" spans="6:9">
      <c r="F192" s="520"/>
      <c r="G192" s="520"/>
      <c r="H192" s="520"/>
      <c r="I192" s="520"/>
    </row>
    <row r="193" spans="6:9">
      <c r="F193" s="520"/>
      <c r="G193" s="520"/>
      <c r="H193" s="520"/>
      <c r="I193" s="520"/>
    </row>
    <row r="194" spans="6:9">
      <c r="F194" s="520"/>
      <c r="G194" s="520"/>
      <c r="H194" s="520"/>
      <c r="I194" s="520"/>
    </row>
    <row r="195" spans="6:9">
      <c r="F195" s="520"/>
      <c r="G195" s="520"/>
      <c r="H195" s="520"/>
      <c r="I195" s="520"/>
    </row>
    <row r="196" spans="6:9">
      <c r="F196" s="520"/>
      <c r="G196" s="520"/>
      <c r="H196" s="520"/>
      <c r="I196" s="520"/>
    </row>
    <row r="197" spans="6:9">
      <c r="F197" s="520"/>
      <c r="G197" s="520"/>
      <c r="H197" s="520"/>
      <c r="I197" s="520"/>
    </row>
    <row r="198" spans="6:9">
      <c r="F198" s="520"/>
      <c r="G198" s="520"/>
      <c r="H198" s="520"/>
      <c r="I198" s="520"/>
    </row>
    <row r="199" spans="6:9">
      <c r="F199" s="520"/>
      <c r="G199" s="520"/>
      <c r="H199" s="520"/>
      <c r="I199" s="520"/>
    </row>
    <row r="200" spans="6:9">
      <c r="F200" s="520"/>
      <c r="G200" s="520"/>
      <c r="H200" s="520"/>
      <c r="I200" s="520"/>
    </row>
    <row r="201" spans="6:9">
      <c r="F201" s="520"/>
      <c r="G201" s="520"/>
      <c r="H201" s="520"/>
      <c r="I201" s="520"/>
    </row>
    <row r="202" spans="6:9">
      <c r="F202" s="520"/>
      <c r="G202" s="520"/>
      <c r="H202" s="520"/>
      <c r="I202" s="520"/>
    </row>
    <row r="203" spans="6:9">
      <c r="F203" s="520"/>
      <c r="G203" s="520"/>
      <c r="H203" s="520"/>
      <c r="I203" s="520"/>
    </row>
    <row r="204" spans="6:9">
      <c r="F204" s="520"/>
      <c r="G204" s="520"/>
      <c r="H204" s="520"/>
      <c r="I204" s="520"/>
    </row>
    <row r="205" spans="6:9">
      <c r="F205" s="520"/>
      <c r="G205" s="520"/>
      <c r="H205" s="520"/>
      <c r="I205" s="520"/>
    </row>
    <row r="206" spans="6:9">
      <c r="F206" s="520"/>
      <c r="G206" s="520"/>
      <c r="H206" s="520"/>
      <c r="I206" s="520"/>
    </row>
    <row r="207" spans="6:9">
      <c r="F207" s="520"/>
      <c r="G207" s="520"/>
      <c r="H207" s="520"/>
      <c r="I207" s="520"/>
    </row>
    <row r="208" spans="6:9">
      <c r="F208" s="520"/>
      <c r="G208" s="520"/>
      <c r="H208" s="520"/>
      <c r="I208" s="520"/>
    </row>
    <row r="209" spans="6:9">
      <c r="F209" s="520"/>
      <c r="G209" s="520"/>
      <c r="H209" s="520"/>
      <c r="I209" s="520"/>
    </row>
    <row r="210" spans="6:9">
      <c r="F210" s="520"/>
      <c r="G210" s="520"/>
      <c r="H210" s="520"/>
      <c r="I210" s="520"/>
    </row>
    <row r="211" spans="6:9">
      <c r="F211" s="520"/>
      <c r="G211" s="520"/>
      <c r="H211" s="520"/>
      <c r="I211" s="520"/>
    </row>
    <row r="212" spans="6:9">
      <c r="F212" s="520"/>
      <c r="G212" s="520"/>
      <c r="H212" s="520"/>
      <c r="I212" s="520"/>
    </row>
    <row r="213" spans="6:9">
      <c r="F213" s="520"/>
      <c r="G213" s="520"/>
      <c r="H213" s="520"/>
      <c r="I213" s="520"/>
    </row>
    <row r="214" spans="6:9">
      <c r="F214" s="520"/>
      <c r="G214" s="520"/>
      <c r="H214" s="520"/>
      <c r="I214" s="520"/>
    </row>
    <row r="215" spans="6:9">
      <c r="F215" s="520"/>
      <c r="G215" s="520"/>
      <c r="H215" s="520"/>
      <c r="I215" s="520"/>
    </row>
    <row r="216" spans="6:9">
      <c r="F216" s="520"/>
      <c r="G216" s="520"/>
      <c r="H216" s="520"/>
      <c r="I216" s="520"/>
    </row>
    <row r="217" spans="6:9">
      <c r="F217" s="520"/>
      <c r="G217" s="520"/>
      <c r="H217" s="520"/>
      <c r="I217" s="520"/>
    </row>
    <row r="218" spans="6:9">
      <c r="F218" s="520"/>
      <c r="G218" s="520"/>
      <c r="H218" s="520"/>
      <c r="I218" s="520"/>
    </row>
    <row r="219" spans="6:9">
      <c r="F219" s="520"/>
      <c r="G219" s="520"/>
      <c r="H219" s="520"/>
      <c r="I219" s="520"/>
    </row>
    <row r="220" spans="6:9">
      <c r="F220" s="520"/>
      <c r="G220" s="520"/>
      <c r="H220" s="520"/>
      <c r="I220" s="520"/>
    </row>
    <row r="221" spans="6:9">
      <c r="F221" s="520"/>
      <c r="G221" s="520"/>
      <c r="H221" s="520"/>
      <c r="I221" s="520"/>
    </row>
    <row r="222" spans="6:9">
      <c r="F222" s="520"/>
      <c r="G222" s="520"/>
      <c r="H222" s="520"/>
      <c r="I222" s="520"/>
    </row>
    <row r="223" spans="6:9">
      <c r="F223" s="520"/>
      <c r="G223" s="520"/>
      <c r="H223" s="520"/>
      <c r="I223" s="520"/>
    </row>
    <row r="224" spans="6:9">
      <c r="F224" s="520"/>
      <c r="G224" s="520"/>
      <c r="H224" s="520"/>
      <c r="I224" s="520"/>
    </row>
    <row r="225" spans="6:9">
      <c r="F225" s="520"/>
      <c r="G225" s="520"/>
      <c r="H225" s="520"/>
      <c r="I225" s="520"/>
    </row>
    <row r="226" spans="6:9">
      <c r="F226" s="520"/>
      <c r="G226" s="520"/>
      <c r="H226" s="520"/>
      <c r="I226" s="520"/>
    </row>
    <row r="227" spans="6:9">
      <c r="F227" s="520"/>
      <c r="G227" s="520"/>
      <c r="H227" s="520"/>
      <c r="I227" s="520"/>
    </row>
    <row r="228" spans="6:9">
      <c r="F228" s="520"/>
      <c r="G228" s="520"/>
      <c r="H228" s="520"/>
      <c r="I228" s="520"/>
    </row>
    <row r="229" spans="6:9">
      <c r="F229" s="520"/>
      <c r="G229" s="520"/>
      <c r="H229" s="520"/>
      <c r="I229" s="520"/>
    </row>
    <row r="230" spans="6:9">
      <c r="F230" s="520"/>
      <c r="G230" s="520"/>
      <c r="H230" s="520"/>
      <c r="I230" s="520"/>
    </row>
    <row r="231" spans="6:9">
      <c r="F231" s="520"/>
      <c r="G231" s="520"/>
      <c r="H231" s="520"/>
      <c r="I231" s="520"/>
    </row>
    <row r="232" spans="6:9">
      <c r="F232" s="520"/>
      <c r="G232" s="520"/>
      <c r="H232" s="520"/>
      <c r="I232" s="520"/>
    </row>
    <row r="233" spans="6:9">
      <c r="F233" s="520"/>
      <c r="G233" s="520"/>
      <c r="H233" s="520"/>
      <c r="I233" s="520"/>
    </row>
    <row r="234" spans="6:9">
      <c r="F234" s="520"/>
      <c r="G234" s="520"/>
      <c r="H234" s="520"/>
      <c r="I234" s="520"/>
    </row>
    <row r="235" spans="6:9">
      <c r="F235" s="520"/>
      <c r="G235" s="520"/>
      <c r="H235" s="520"/>
      <c r="I235" s="520"/>
    </row>
    <row r="236" spans="6:9">
      <c r="F236" s="520"/>
      <c r="G236" s="520"/>
      <c r="H236" s="520"/>
      <c r="I236" s="520"/>
    </row>
    <row r="237" spans="6:9">
      <c r="F237" s="520"/>
      <c r="G237" s="520"/>
      <c r="H237" s="520"/>
      <c r="I237" s="520"/>
    </row>
    <row r="238" spans="6:9">
      <c r="F238" s="520"/>
      <c r="G238" s="520"/>
      <c r="H238" s="520"/>
      <c r="I238" s="520"/>
    </row>
    <row r="239" spans="6:9">
      <c r="F239" s="520"/>
      <c r="G239" s="520"/>
      <c r="H239" s="520"/>
      <c r="I239" s="520"/>
    </row>
    <row r="240" spans="6:9">
      <c r="F240" s="520"/>
      <c r="G240" s="520"/>
      <c r="H240" s="520"/>
      <c r="I240" s="520"/>
    </row>
    <row r="241" spans="6:9">
      <c r="F241" s="520"/>
      <c r="G241" s="520"/>
      <c r="H241" s="520"/>
      <c r="I241" s="520"/>
    </row>
    <row r="242" spans="6:9">
      <c r="F242" s="520"/>
      <c r="G242" s="520"/>
      <c r="H242" s="520"/>
      <c r="I242" s="520"/>
    </row>
    <row r="243" spans="6:9">
      <c r="F243" s="520"/>
      <c r="G243" s="520"/>
      <c r="H243" s="520"/>
      <c r="I243" s="520"/>
    </row>
    <row r="244" spans="6:9">
      <c r="F244" s="520"/>
      <c r="G244" s="520"/>
      <c r="H244" s="520"/>
      <c r="I244" s="520"/>
    </row>
    <row r="245" spans="6:9">
      <c r="F245" s="520"/>
      <c r="G245" s="520"/>
      <c r="H245" s="520"/>
      <c r="I245" s="520"/>
    </row>
    <row r="246" spans="6:9">
      <c r="F246" s="520"/>
      <c r="G246" s="520"/>
      <c r="H246" s="520"/>
      <c r="I246" s="520"/>
    </row>
    <row r="247" spans="6:9">
      <c r="F247" s="520"/>
      <c r="G247" s="520"/>
      <c r="H247" s="520"/>
      <c r="I247" s="520"/>
    </row>
    <row r="248" spans="6:9">
      <c r="F248" s="520"/>
      <c r="G248" s="520"/>
      <c r="H248" s="520"/>
      <c r="I248" s="520"/>
    </row>
    <row r="249" spans="6:9">
      <c r="F249" s="520"/>
      <c r="G249" s="520"/>
      <c r="H249" s="520"/>
      <c r="I249" s="520"/>
    </row>
    <row r="250" spans="6:9">
      <c r="F250" s="520"/>
      <c r="G250" s="520"/>
      <c r="H250" s="520"/>
      <c r="I250" s="520"/>
    </row>
    <row r="251" spans="6:9">
      <c r="F251" s="520"/>
      <c r="G251" s="520"/>
      <c r="H251" s="520"/>
      <c r="I251" s="520"/>
    </row>
    <row r="252" spans="6:9">
      <c r="F252" s="520"/>
      <c r="G252" s="520"/>
      <c r="H252" s="520"/>
      <c r="I252" s="520"/>
    </row>
    <row r="253" spans="6:9">
      <c r="F253" s="520"/>
      <c r="G253" s="520"/>
      <c r="H253" s="520"/>
      <c r="I253" s="520"/>
    </row>
    <row r="254" spans="6:9">
      <c r="F254" s="520"/>
      <c r="G254" s="520"/>
      <c r="H254" s="520"/>
      <c r="I254" s="520"/>
    </row>
    <row r="255" spans="6:9">
      <c r="F255" s="520"/>
      <c r="G255" s="520"/>
      <c r="H255" s="520"/>
      <c r="I255" s="520"/>
    </row>
    <row r="256" spans="6:9">
      <c r="F256" s="520"/>
      <c r="G256" s="520"/>
      <c r="H256" s="520"/>
      <c r="I256" s="520"/>
    </row>
    <row r="257" spans="6:9">
      <c r="F257" s="520"/>
      <c r="G257" s="520"/>
      <c r="H257" s="520"/>
      <c r="I257" s="520"/>
    </row>
    <row r="258" spans="6:9">
      <c r="F258" s="520"/>
      <c r="G258" s="520"/>
      <c r="H258" s="520"/>
      <c r="I258" s="520"/>
    </row>
    <row r="259" spans="6:9">
      <c r="F259" s="520"/>
      <c r="G259" s="520"/>
      <c r="H259" s="520"/>
      <c r="I259" s="520"/>
    </row>
    <row r="260" spans="6:9">
      <c r="F260" s="520"/>
      <c r="G260" s="520"/>
      <c r="H260" s="520"/>
      <c r="I260" s="520"/>
    </row>
    <row r="261" spans="6:9">
      <c r="F261" s="520"/>
      <c r="G261" s="520"/>
      <c r="H261" s="520"/>
      <c r="I261" s="520"/>
    </row>
    <row r="262" spans="6:9">
      <c r="F262" s="520"/>
      <c r="G262" s="520"/>
      <c r="H262" s="520"/>
      <c r="I262" s="520"/>
    </row>
    <row r="263" spans="6:9">
      <c r="F263" s="520"/>
      <c r="G263" s="520"/>
      <c r="H263" s="520"/>
      <c r="I263" s="520"/>
    </row>
    <row r="264" spans="6:9">
      <c r="F264" s="520"/>
      <c r="G264" s="520"/>
      <c r="H264" s="520"/>
      <c r="I264" s="520"/>
    </row>
    <row r="265" spans="6:9">
      <c r="F265" s="520"/>
      <c r="G265" s="520"/>
      <c r="H265" s="520"/>
      <c r="I265" s="520"/>
    </row>
    <row r="266" spans="6:9">
      <c r="F266" s="520"/>
      <c r="G266" s="520"/>
      <c r="H266" s="520"/>
      <c r="I266" s="520"/>
    </row>
    <row r="267" spans="6:9">
      <c r="F267" s="520"/>
      <c r="G267" s="520"/>
      <c r="H267" s="520"/>
      <c r="I267" s="520"/>
    </row>
    <row r="268" spans="6:9">
      <c r="F268" s="520"/>
      <c r="G268" s="520"/>
      <c r="H268" s="520"/>
      <c r="I268" s="520"/>
    </row>
    <row r="269" spans="6:9">
      <c r="F269" s="520"/>
      <c r="G269" s="520"/>
      <c r="H269" s="520"/>
      <c r="I269" s="520"/>
    </row>
    <row r="270" spans="6:9">
      <c r="F270" s="520"/>
      <c r="G270" s="520"/>
      <c r="H270" s="520"/>
      <c r="I270" s="520"/>
    </row>
    <row r="271" spans="6:9">
      <c r="F271" s="520"/>
      <c r="G271" s="520"/>
      <c r="H271" s="520"/>
      <c r="I271" s="520"/>
    </row>
    <row r="272" spans="6:9">
      <c r="F272" s="520"/>
      <c r="G272" s="520"/>
      <c r="H272" s="520"/>
      <c r="I272" s="520"/>
    </row>
    <row r="273" spans="6:9">
      <c r="F273" s="520"/>
      <c r="G273" s="520"/>
      <c r="H273" s="520"/>
      <c r="I273" s="520"/>
    </row>
    <row r="274" spans="6:9">
      <c r="F274" s="520"/>
      <c r="G274" s="520"/>
      <c r="H274" s="520"/>
      <c r="I274" s="520"/>
    </row>
    <row r="275" spans="6:9">
      <c r="F275" s="520"/>
      <c r="G275" s="520"/>
      <c r="H275" s="520"/>
      <c r="I275" s="520"/>
    </row>
    <row r="276" spans="6:9">
      <c r="F276" s="520"/>
      <c r="G276" s="520"/>
      <c r="H276" s="520"/>
      <c r="I276" s="520"/>
    </row>
    <row r="277" spans="6:9">
      <c r="F277" s="520"/>
      <c r="G277" s="520"/>
      <c r="H277" s="520"/>
      <c r="I277" s="520"/>
    </row>
    <row r="278" spans="6:9">
      <c r="F278" s="520"/>
      <c r="G278" s="520"/>
      <c r="H278" s="520"/>
      <c r="I278" s="520"/>
    </row>
    <row r="279" spans="6:9">
      <c r="F279" s="520"/>
      <c r="G279" s="520"/>
      <c r="H279" s="520"/>
      <c r="I279" s="520"/>
    </row>
    <row r="280" spans="6:9">
      <c r="F280" s="520"/>
      <c r="G280" s="520"/>
      <c r="H280" s="520"/>
      <c r="I280" s="520"/>
    </row>
    <row r="281" spans="6:9">
      <c r="F281" s="520"/>
      <c r="G281" s="520"/>
      <c r="H281" s="520"/>
      <c r="I281" s="520"/>
    </row>
    <row r="282" spans="6:9">
      <c r="F282" s="520"/>
      <c r="G282" s="520"/>
      <c r="H282" s="520"/>
      <c r="I282" s="520"/>
    </row>
    <row r="283" spans="6:9">
      <c r="F283" s="520"/>
      <c r="G283" s="520"/>
      <c r="H283" s="520"/>
      <c r="I283" s="520"/>
    </row>
    <row r="284" spans="6:9">
      <c r="F284" s="520"/>
      <c r="G284" s="520"/>
      <c r="H284" s="520"/>
      <c r="I284" s="520"/>
    </row>
    <row r="285" spans="6:9">
      <c r="F285" s="520"/>
      <c r="G285" s="520"/>
      <c r="H285" s="520"/>
      <c r="I285" s="520"/>
    </row>
    <row r="286" spans="6:9">
      <c r="F286" s="520"/>
      <c r="G286" s="520"/>
      <c r="H286" s="520"/>
      <c r="I286" s="520"/>
    </row>
    <row r="287" spans="6:9">
      <c r="F287" s="520"/>
      <c r="G287" s="520"/>
      <c r="H287" s="520"/>
      <c r="I287" s="520"/>
    </row>
    <row r="288" spans="6:9">
      <c r="F288" s="520"/>
      <c r="G288" s="520"/>
      <c r="H288" s="520"/>
      <c r="I288" s="520"/>
    </row>
    <row r="289" spans="6:9">
      <c r="F289" s="520"/>
      <c r="G289" s="520"/>
      <c r="H289" s="520"/>
      <c r="I289" s="520"/>
    </row>
    <row r="290" spans="6:9">
      <c r="F290" s="520"/>
      <c r="G290" s="520"/>
      <c r="H290" s="520"/>
      <c r="I290" s="520"/>
    </row>
    <row r="291" spans="6:9">
      <c r="F291" s="520"/>
      <c r="G291" s="520"/>
      <c r="H291" s="520"/>
      <c r="I291" s="520"/>
    </row>
    <row r="292" spans="6:9">
      <c r="F292" s="520"/>
      <c r="G292" s="520"/>
      <c r="H292" s="520"/>
      <c r="I292" s="520"/>
    </row>
    <row r="293" spans="6:9">
      <c r="F293" s="520"/>
      <c r="G293" s="520"/>
      <c r="H293" s="520"/>
      <c r="I293" s="520"/>
    </row>
    <row r="294" spans="6:9">
      <c r="F294" s="520"/>
      <c r="G294" s="520"/>
      <c r="H294" s="520"/>
      <c r="I294" s="520"/>
    </row>
    <row r="295" spans="6:9">
      <c r="F295" s="520"/>
      <c r="G295" s="520"/>
      <c r="H295" s="520"/>
      <c r="I295" s="520"/>
    </row>
    <row r="296" spans="6:9">
      <c r="F296" s="520"/>
      <c r="G296" s="520"/>
      <c r="H296" s="520"/>
      <c r="I296" s="520"/>
    </row>
    <row r="297" spans="6:9">
      <c r="F297" s="520"/>
      <c r="G297" s="520"/>
      <c r="H297" s="520"/>
      <c r="I297" s="520"/>
    </row>
    <row r="298" spans="6:9">
      <c r="F298" s="520"/>
      <c r="G298" s="520"/>
      <c r="H298" s="520"/>
      <c r="I298" s="520"/>
    </row>
    <row r="299" spans="6:9">
      <c r="F299" s="520"/>
      <c r="G299" s="520"/>
      <c r="H299" s="520"/>
      <c r="I299" s="520"/>
    </row>
    <row r="300" spans="6:9">
      <c r="F300" s="520"/>
      <c r="G300" s="520"/>
      <c r="H300" s="520"/>
      <c r="I300" s="520"/>
    </row>
    <row r="301" spans="6:9">
      <c r="F301" s="520"/>
      <c r="G301" s="520"/>
      <c r="H301" s="520"/>
      <c r="I301" s="520"/>
    </row>
    <row r="302" spans="6:9">
      <c r="F302" s="520"/>
      <c r="G302" s="520"/>
      <c r="H302" s="520"/>
      <c r="I302" s="520"/>
    </row>
    <row r="303" spans="6:9">
      <c r="F303" s="520"/>
      <c r="G303" s="520"/>
      <c r="H303" s="520"/>
      <c r="I303" s="520"/>
    </row>
    <row r="304" spans="6:9">
      <c r="F304" s="520"/>
      <c r="G304" s="520"/>
      <c r="H304" s="520"/>
      <c r="I304" s="520"/>
    </row>
    <row r="305" spans="6:9">
      <c r="F305" s="520"/>
      <c r="G305" s="520"/>
      <c r="H305" s="520"/>
      <c r="I305" s="520"/>
    </row>
    <row r="306" spans="6:9">
      <c r="F306" s="520"/>
      <c r="G306" s="520"/>
      <c r="H306" s="520"/>
      <c r="I306" s="520"/>
    </row>
    <row r="307" spans="6:9">
      <c r="F307" s="520"/>
      <c r="G307" s="520"/>
      <c r="H307" s="520"/>
      <c r="I307" s="520"/>
    </row>
    <row r="308" spans="6:9">
      <c r="F308" s="520"/>
      <c r="G308" s="520"/>
      <c r="H308" s="520"/>
      <c r="I308" s="520"/>
    </row>
    <row r="309" spans="6:9">
      <c r="F309" s="520"/>
      <c r="G309" s="520"/>
      <c r="H309" s="520"/>
      <c r="I309" s="520"/>
    </row>
    <row r="310" spans="6:9">
      <c r="F310" s="520"/>
      <c r="G310" s="520"/>
      <c r="H310" s="520"/>
      <c r="I310" s="520"/>
    </row>
    <row r="311" spans="6:9">
      <c r="F311" s="520"/>
      <c r="G311" s="520"/>
      <c r="H311" s="520"/>
      <c r="I311" s="520"/>
    </row>
    <row r="312" spans="6:9">
      <c r="F312" s="520"/>
      <c r="G312" s="520"/>
      <c r="H312" s="520"/>
      <c r="I312" s="520"/>
    </row>
    <row r="313" spans="6:9">
      <c r="F313" s="520"/>
      <c r="G313" s="520"/>
      <c r="H313" s="520"/>
      <c r="I313" s="520"/>
    </row>
    <row r="314" spans="6:9">
      <c r="F314" s="520"/>
      <c r="G314" s="520"/>
      <c r="H314" s="520"/>
      <c r="I314" s="520"/>
    </row>
    <row r="315" spans="6:9">
      <c r="F315" s="520"/>
      <c r="G315" s="520"/>
      <c r="H315" s="520"/>
      <c r="I315" s="520"/>
    </row>
    <row r="316" spans="6:9">
      <c r="F316" s="520"/>
      <c r="G316" s="520"/>
      <c r="H316" s="520"/>
      <c r="I316" s="520"/>
    </row>
    <row r="317" spans="6:9">
      <c r="F317" s="520"/>
      <c r="G317" s="520"/>
      <c r="H317" s="520"/>
      <c r="I317" s="520"/>
    </row>
    <row r="318" spans="6:9">
      <c r="F318" s="520"/>
      <c r="G318" s="520"/>
      <c r="H318" s="520"/>
      <c r="I318" s="520"/>
    </row>
    <row r="319" spans="6:9">
      <c r="F319" s="520"/>
      <c r="G319" s="520"/>
      <c r="H319" s="520"/>
      <c r="I319" s="520"/>
    </row>
    <row r="320" spans="6:9">
      <c r="F320" s="520"/>
      <c r="G320" s="520"/>
      <c r="H320" s="520"/>
      <c r="I320" s="520"/>
    </row>
    <row r="321" spans="6:9">
      <c r="F321" s="520"/>
      <c r="G321" s="520"/>
      <c r="H321" s="520"/>
      <c r="I321" s="520"/>
    </row>
    <row r="322" spans="6:9">
      <c r="F322" s="520"/>
      <c r="G322" s="520"/>
      <c r="H322" s="520"/>
      <c r="I322" s="520"/>
    </row>
    <row r="323" spans="6:9">
      <c r="F323" s="520"/>
      <c r="G323" s="520"/>
      <c r="H323" s="520"/>
      <c r="I323" s="520"/>
    </row>
    <row r="324" spans="6:9">
      <c r="F324" s="520"/>
      <c r="G324" s="520"/>
      <c r="H324" s="520"/>
      <c r="I324" s="520"/>
    </row>
    <row r="325" spans="6:9">
      <c r="F325" s="520"/>
      <c r="G325" s="520"/>
      <c r="H325" s="520"/>
      <c r="I325" s="520"/>
    </row>
    <row r="326" spans="6:9">
      <c r="F326" s="520"/>
      <c r="G326" s="520"/>
      <c r="H326" s="520"/>
      <c r="I326" s="520"/>
    </row>
    <row r="327" spans="6:9">
      <c r="F327" s="520"/>
      <c r="G327" s="520"/>
      <c r="H327" s="520"/>
      <c r="I327" s="520"/>
    </row>
    <row r="328" spans="6:9">
      <c r="F328" s="520"/>
      <c r="G328" s="520"/>
      <c r="H328" s="520"/>
      <c r="I328" s="520"/>
    </row>
    <row r="329" spans="6:9">
      <c r="F329" s="520"/>
      <c r="G329" s="520"/>
      <c r="H329" s="520"/>
      <c r="I329" s="520"/>
    </row>
    <row r="330" spans="6:9">
      <c r="F330" s="520"/>
      <c r="G330" s="520"/>
      <c r="H330" s="520"/>
      <c r="I330" s="520"/>
    </row>
    <row r="331" spans="6:9">
      <c r="F331" s="520"/>
      <c r="G331" s="520"/>
      <c r="H331" s="520"/>
      <c r="I331" s="520"/>
    </row>
    <row r="332" spans="6:9">
      <c r="F332" s="520"/>
      <c r="G332" s="520"/>
      <c r="H332" s="520"/>
      <c r="I332" s="520"/>
    </row>
    <row r="333" spans="6:9">
      <c r="F333" s="520"/>
      <c r="G333" s="520"/>
      <c r="H333" s="520"/>
      <c r="I333" s="520"/>
    </row>
    <row r="334" spans="6:9">
      <c r="F334" s="520"/>
      <c r="G334" s="520"/>
      <c r="H334" s="520"/>
      <c r="I334" s="520"/>
    </row>
    <row r="335" spans="6:9">
      <c r="F335" s="520"/>
      <c r="G335" s="520"/>
      <c r="H335" s="520"/>
      <c r="I335" s="520"/>
    </row>
    <row r="336" spans="6:9">
      <c r="F336" s="520"/>
      <c r="G336" s="520"/>
      <c r="H336" s="520"/>
      <c r="I336" s="520"/>
    </row>
    <row r="337" spans="6:9">
      <c r="F337" s="520"/>
      <c r="G337" s="520"/>
      <c r="H337" s="520"/>
      <c r="I337" s="520"/>
    </row>
    <row r="338" spans="6:9">
      <c r="F338" s="520"/>
      <c r="G338" s="520"/>
      <c r="H338" s="520"/>
      <c r="I338" s="520"/>
    </row>
    <row r="339" spans="6:9">
      <c r="F339" s="520"/>
      <c r="G339" s="520"/>
      <c r="H339" s="520"/>
      <c r="I339" s="520"/>
    </row>
    <row r="340" spans="6:9">
      <c r="F340" s="520"/>
      <c r="G340" s="520"/>
      <c r="H340" s="520"/>
      <c r="I340" s="520"/>
    </row>
    <row r="341" spans="6:9">
      <c r="F341" s="520"/>
      <c r="G341" s="520"/>
      <c r="H341" s="520"/>
      <c r="I341" s="520"/>
    </row>
    <row r="342" spans="6:9">
      <c r="F342" s="520"/>
      <c r="G342" s="520"/>
      <c r="H342" s="520"/>
      <c r="I342" s="520"/>
    </row>
    <row r="343" spans="6:9">
      <c r="F343" s="520"/>
      <c r="G343" s="520"/>
      <c r="H343" s="520"/>
      <c r="I343" s="520"/>
    </row>
    <row r="344" spans="6:9">
      <c r="F344" s="520"/>
      <c r="G344" s="520"/>
      <c r="H344" s="520"/>
      <c r="I344" s="520"/>
    </row>
    <row r="345" spans="6:9">
      <c r="F345" s="520"/>
      <c r="G345" s="520"/>
      <c r="H345" s="520"/>
      <c r="I345" s="520"/>
    </row>
    <row r="346" spans="6:9">
      <c r="F346" s="520"/>
      <c r="G346" s="520"/>
      <c r="H346" s="520"/>
      <c r="I346" s="520"/>
    </row>
    <row r="347" spans="6:9">
      <c r="F347" s="520"/>
      <c r="G347" s="520"/>
      <c r="H347" s="520"/>
      <c r="I347" s="520"/>
    </row>
    <row r="348" spans="6:9">
      <c r="F348" s="520"/>
      <c r="G348" s="520"/>
      <c r="H348" s="520"/>
      <c r="I348" s="520"/>
    </row>
    <row r="349" spans="6:9">
      <c r="F349" s="520"/>
      <c r="G349" s="520"/>
      <c r="H349" s="520"/>
      <c r="I349" s="520"/>
    </row>
    <row r="350" spans="6:9">
      <c r="F350" s="520"/>
      <c r="G350" s="520"/>
      <c r="H350" s="520"/>
      <c r="I350" s="520"/>
    </row>
    <row r="351" spans="6:9">
      <c r="F351" s="520"/>
      <c r="G351" s="520"/>
      <c r="H351" s="520"/>
      <c r="I351" s="520"/>
    </row>
    <row r="352" spans="6:9">
      <c r="F352" s="520"/>
      <c r="G352" s="520"/>
      <c r="H352" s="520"/>
      <c r="I352" s="520"/>
    </row>
    <row r="353" spans="6:9">
      <c r="F353" s="520"/>
      <c r="G353" s="520"/>
      <c r="H353" s="520"/>
      <c r="I353" s="520"/>
    </row>
    <row r="354" spans="6:9">
      <c r="F354" s="520"/>
      <c r="G354" s="520"/>
      <c r="H354" s="520"/>
      <c r="I354" s="520"/>
    </row>
    <row r="355" spans="6:9">
      <c r="F355" s="520"/>
      <c r="G355" s="520"/>
      <c r="H355" s="520"/>
      <c r="I355" s="520"/>
    </row>
    <row r="356" spans="6:9">
      <c r="F356" s="520"/>
      <c r="G356" s="520"/>
      <c r="H356" s="520"/>
      <c r="I356" s="520"/>
    </row>
    <row r="357" spans="6:9">
      <c r="F357" s="520"/>
      <c r="G357" s="520"/>
      <c r="H357" s="520"/>
      <c r="I357" s="520"/>
    </row>
    <row r="358" spans="6:9">
      <c r="F358" s="520"/>
      <c r="G358" s="520"/>
      <c r="H358" s="520"/>
      <c r="I358" s="520"/>
    </row>
    <row r="359" spans="6:9">
      <c r="F359" s="520"/>
      <c r="G359" s="520"/>
      <c r="H359" s="520"/>
      <c r="I359" s="520"/>
    </row>
    <row r="360" spans="6:9">
      <c r="F360" s="520"/>
      <c r="G360" s="520"/>
      <c r="H360" s="520"/>
      <c r="I360" s="520"/>
    </row>
    <row r="361" spans="6:9">
      <c r="F361" s="520"/>
      <c r="G361" s="520"/>
      <c r="H361" s="520"/>
      <c r="I361" s="520"/>
    </row>
    <row r="362" spans="6:9">
      <c r="F362" s="520"/>
      <c r="G362" s="520"/>
      <c r="H362" s="520"/>
      <c r="I362" s="520"/>
    </row>
    <row r="363" spans="6:9">
      <c r="F363" s="520"/>
      <c r="G363" s="520"/>
      <c r="H363" s="520"/>
      <c r="I363" s="520"/>
    </row>
    <row r="364" spans="6:9">
      <c r="F364" s="520"/>
      <c r="G364" s="520"/>
      <c r="H364" s="520"/>
      <c r="I364" s="520"/>
    </row>
    <row r="365" spans="6:9">
      <c r="F365" s="520"/>
      <c r="G365" s="520"/>
      <c r="H365" s="520"/>
      <c r="I365" s="520"/>
    </row>
    <row r="366" spans="6:9">
      <c r="F366" s="520"/>
      <c r="G366" s="520"/>
      <c r="H366" s="520"/>
      <c r="I366" s="520"/>
    </row>
    <row r="367" spans="6:9">
      <c r="F367" s="520"/>
      <c r="G367" s="520"/>
      <c r="H367" s="520"/>
      <c r="I367" s="520"/>
    </row>
    <row r="368" spans="6:9">
      <c r="F368" s="520"/>
      <c r="G368" s="520"/>
      <c r="H368" s="520"/>
      <c r="I368" s="520"/>
    </row>
    <row r="369" spans="6:9">
      <c r="F369" s="520"/>
      <c r="G369" s="520"/>
      <c r="H369" s="520"/>
      <c r="I369" s="520"/>
    </row>
    <row r="370" spans="6:9">
      <c r="F370" s="520"/>
      <c r="G370" s="520"/>
      <c r="H370" s="520"/>
      <c r="I370" s="520"/>
    </row>
    <row r="371" spans="6:9">
      <c r="F371" s="520"/>
      <c r="G371" s="520"/>
      <c r="H371" s="520"/>
      <c r="I371" s="520"/>
    </row>
    <row r="372" spans="6:9">
      <c r="F372" s="520"/>
      <c r="G372" s="520"/>
      <c r="H372" s="520"/>
      <c r="I372" s="520"/>
    </row>
    <row r="373" spans="6:9">
      <c r="F373" s="520"/>
      <c r="G373" s="520"/>
      <c r="H373" s="520"/>
      <c r="I373" s="520"/>
    </row>
    <row r="374" spans="6:9">
      <c r="F374" s="520"/>
      <c r="G374" s="520"/>
      <c r="H374" s="520"/>
      <c r="I374" s="520"/>
    </row>
    <row r="375" spans="6:9">
      <c r="F375" s="520"/>
      <c r="G375" s="520"/>
      <c r="H375" s="520"/>
      <c r="I375" s="520"/>
    </row>
    <row r="376" spans="6:9">
      <c r="F376" s="520"/>
      <c r="G376" s="520"/>
      <c r="H376" s="520"/>
      <c r="I376" s="520"/>
    </row>
    <row r="377" spans="6:9">
      <c r="F377" s="520"/>
      <c r="G377" s="520"/>
      <c r="H377" s="520"/>
      <c r="I377" s="520"/>
    </row>
    <row r="378" spans="6:9">
      <c r="F378" s="520"/>
      <c r="G378" s="520"/>
      <c r="H378" s="520"/>
      <c r="I378" s="520"/>
    </row>
    <row r="379" spans="6:9">
      <c r="F379" s="520"/>
      <c r="G379" s="520"/>
      <c r="H379" s="520"/>
      <c r="I379" s="520"/>
    </row>
    <row r="380" spans="6:9">
      <c r="F380" s="520"/>
      <c r="G380" s="520"/>
      <c r="H380" s="520"/>
      <c r="I380" s="520"/>
    </row>
    <row r="381" spans="6:9">
      <c r="F381" s="520"/>
      <c r="G381" s="520"/>
      <c r="H381" s="520"/>
      <c r="I381" s="520"/>
    </row>
    <row r="382" spans="6:9">
      <c r="F382" s="520"/>
      <c r="G382" s="520"/>
      <c r="H382" s="520"/>
      <c r="I382" s="520"/>
    </row>
    <row r="383" spans="6:9">
      <c r="F383" s="520"/>
      <c r="G383" s="520"/>
      <c r="H383" s="520"/>
      <c r="I383" s="520"/>
    </row>
    <row r="384" spans="6:9">
      <c r="F384" s="520"/>
      <c r="G384" s="520"/>
      <c r="H384" s="520"/>
      <c r="I384" s="520"/>
    </row>
    <row r="385" spans="6:9">
      <c r="F385" s="520"/>
      <c r="G385" s="520"/>
      <c r="H385" s="520"/>
      <c r="I385" s="520"/>
    </row>
    <row r="386" spans="6:9">
      <c r="F386" s="520"/>
      <c r="G386" s="520"/>
      <c r="H386" s="520"/>
      <c r="I386" s="520"/>
    </row>
    <row r="387" spans="6:9">
      <c r="F387" s="520"/>
      <c r="G387" s="520"/>
      <c r="H387" s="520"/>
      <c r="I387" s="520"/>
    </row>
    <row r="388" spans="6:9">
      <c r="F388" s="520"/>
      <c r="G388" s="520"/>
      <c r="H388" s="520"/>
      <c r="I388" s="520"/>
    </row>
    <row r="389" spans="6:9">
      <c r="F389" s="520"/>
      <c r="G389" s="520"/>
      <c r="H389" s="520"/>
      <c r="I389" s="520"/>
    </row>
    <row r="390" spans="6:9">
      <c r="F390" s="520"/>
      <c r="G390" s="520"/>
      <c r="H390" s="520"/>
      <c r="I390" s="520"/>
    </row>
    <row r="391" spans="6:9">
      <c r="F391" s="520"/>
      <c r="G391" s="520"/>
      <c r="H391" s="520"/>
      <c r="I391" s="520"/>
    </row>
    <row r="392" spans="6:9">
      <c r="F392" s="520"/>
      <c r="G392" s="520"/>
      <c r="H392" s="520"/>
      <c r="I392" s="520"/>
    </row>
    <row r="393" spans="6:9">
      <c r="F393" s="520"/>
      <c r="G393" s="520"/>
      <c r="H393" s="520"/>
      <c r="I393" s="520"/>
    </row>
    <row r="394" spans="6:9">
      <c r="F394" s="520"/>
      <c r="G394" s="520"/>
      <c r="H394" s="520"/>
      <c r="I394" s="520"/>
    </row>
    <row r="395" spans="6:9">
      <c r="F395" s="520"/>
      <c r="G395" s="520"/>
      <c r="H395" s="520"/>
      <c r="I395" s="520"/>
    </row>
    <row r="396" spans="6:9">
      <c r="F396" s="520"/>
      <c r="G396" s="520"/>
      <c r="H396" s="520"/>
      <c r="I396" s="520"/>
    </row>
    <row r="397" spans="6:9">
      <c r="F397" s="520"/>
      <c r="G397" s="520"/>
      <c r="H397" s="520"/>
      <c r="I397" s="520"/>
    </row>
    <row r="398" spans="6:9">
      <c r="F398" s="520"/>
      <c r="G398" s="520"/>
      <c r="H398" s="520"/>
      <c r="I398" s="520"/>
    </row>
    <row r="399" spans="6:9">
      <c r="F399" s="520"/>
      <c r="G399" s="520"/>
      <c r="H399" s="520"/>
      <c r="I399" s="520"/>
    </row>
    <row r="400" spans="6:9">
      <c r="F400" s="520"/>
      <c r="G400" s="520"/>
      <c r="H400" s="520"/>
      <c r="I400" s="520"/>
    </row>
    <row r="401" spans="6:9">
      <c r="F401" s="520"/>
      <c r="G401" s="520"/>
      <c r="H401" s="520"/>
      <c r="I401" s="520"/>
    </row>
    <row r="402" spans="6:9">
      <c r="F402" s="520"/>
      <c r="G402" s="520"/>
      <c r="H402" s="520"/>
      <c r="I402" s="520"/>
    </row>
    <row r="403" spans="6:9">
      <c r="F403" s="520"/>
      <c r="G403" s="520"/>
      <c r="H403" s="520"/>
      <c r="I403" s="520"/>
    </row>
    <row r="404" spans="6:9">
      <c r="F404" s="520"/>
      <c r="G404" s="520"/>
      <c r="H404" s="520"/>
      <c r="I404" s="520"/>
    </row>
    <row r="405" spans="6:9">
      <c r="F405" s="520"/>
      <c r="G405" s="520"/>
      <c r="H405" s="520"/>
      <c r="I405" s="520"/>
    </row>
    <row r="406" spans="6:9">
      <c r="F406" s="520"/>
      <c r="G406" s="520"/>
      <c r="H406" s="520"/>
      <c r="I406" s="520"/>
    </row>
    <row r="407" spans="6:9">
      <c r="F407" s="520"/>
      <c r="G407" s="520"/>
      <c r="H407" s="520"/>
      <c r="I407" s="520"/>
    </row>
    <row r="408" spans="6:9">
      <c r="F408" s="520"/>
      <c r="G408" s="520"/>
      <c r="H408" s="520"/>
      <c r="I408" s="520"/>
    </row>
    <row r="409" spans="6:9">
      <c r="F409" s="520"/>
      <c r="G409" s="520"/>
      <c r="H409" s="520"/>
      <c r="I409" s="520"/>
    </row>
    <row r="410" spans="6:9">
      <c r="F410" s="520"/>
      <c r="G410" s="520"/>
      <c r="H410" s="520"/>
      <c r="I410" s="520"/>
    </row>
    <row r="411" spans="6:9">
      <c r="F411" s="520"/>
      <c r="G411" s="520"/>
      <c r="H411" s="520"/>
      <c r="I411" s="520"/>
    </row>
    <row r="412" spans="6:9">
      <c r="F412" s="520"/>
      <c r="G412" s="520"/>
      <c r="H412" s="520"/>
      <c r="I412" s="520"/>
    </row>
    <row r="413" spans="6:9">
      <c r="F413" s="520"/>
      <c r="G413" s="520"/>
      <c r="H413" s="520"/>
      <c r="I413" s="520"/>
    </row>
    <row r="414" spans="6:9">
      <c r="F414" s="520"/>
      <c r="G414" s="520"/>
      <c r="H414" s="520"/>
      <c r="I414" s="520"/>
    </row>
    <row r="415" spans="6:9">
      <c r="F415" s="520"/>
      <c r="G415" s="520"/>
      <c r="H415" s="520"/>
      <c r="I415" s="520"/>
    </row>
    <row r="416" spans="6:9">
      <c r="F416" s="520"/>
      <c r="G416" s="520"/>
      <c r="H416" s="520"/>
      <c r="I416" s="520"/>
    </row>
    <row r="417" spans="6:9">
      <c r="F417" s="520"/>
      <c r="G417" s="520"/>
      <c r="H417" s="520"/>
      <c r="I417" s="520"/>
    </row>
    <row r="418" spans="6:9">
      <c r="F418" s="520"/>
      <c r="G418" s="520"/>
      <c r="H418" s="520"/>
      <c r="I418" s="520"/>
    </row>
    <row r="419" spans="6:9">
      <c r="F419" s="520"/>
      <c r="G419" s="520"/>
      <c r="H419" s="520"/>
      <c r="I419" s="520"/>
    </row>
    <row r="420" spans="6:9">
      <c r="F420" s="520"/>
      <c r="G420" s="520"/>
      <c r="H420" s="520"/>
      <c r="I420" s="520"/>
    </row>
    <row r="421" spans="6:9">
      <c r="F421" s="520"/>
      <c r="G421" s="520"/>
      <c r="H421" s="520"/>
      <c r="I421" s="520"/>
    </row>
    <row r="422" spans="6:9">
      <c r="F422" s="520"/>
      <c r="G422" s="520"/>
      <c r="H422" s="520"/>
      <c r="I422" s="520"/>
    </row>
    <row r="423" spans="6:9">
      <c r="F423" s="520"/>
      <c r="G423" s="520"/>
      <c r="H423" s="520"/>
      <c r="I423" s="520"/>
    </row>
    <row r="424" spans="6:9">
      <c r="F424" s="520"/>
      <c r="G424" s="520"/>
      <c r="H424" s="520"/>
      <c r="I424" s="520"/>
    </row>
    <row r="425" spans="6:9">
      <c r="F425" s="520"/>
      <c r="G425" s="520"/>
      <c r="H425" s="520"/>
      <c r="I425" s="520"/>
    </row>
    <row r="426" spans="6:9">
      <c r="F426" s="520"/>
      <c r="G426" s="520"/>
      <c r="H426" s="520"/>
      <c r="I426" s="520"/>
    </row>
    <row r="427" spans="6:9">
      <c r="F427" s="520"/>
      <c r="G427" s="520"/>
      <c r="H427" s="520"/>
      <c r="I427" s="520"/>
    </row>
    <row r="428" spans="6:9">
      <c r="F428" s="520"/>
      <c r="G428" s="520"/>
      <c r="H428" s="520"/>
      <c r="I428" s="520"/>
    </row>
    <row r="429" spans="6:9">
      <c r="F429" s="520"/>
      <c r="G429" s="520"/>
      <c r="H429" s="520"/>
      <c r="I429" s="520"/>
    </row>
    <row r="430" spans="6:9">
      <c r="F430" s="520"/>
      <c r="G430" s="520"/>
      <c r="H430" s="520"/>
      <c r="I430" s="520"/>
    </row>
    <row r="431" spans="6:9">
      <c r="F431" s="520"/>
      <c r="G431" s="520"/>
      <c r="H431" s="520"/>
      <c r="I431" s="520"/>
    </row>
    <row r="432" spans="6:9">
      <c r="F432" s="520"/>
      <c r="G432" s="520"/>
      <c r="H432" s="520"/>
      <c r="I432" s="520"/>
    </row>
    <row r="433" spans="6:9">
      <c r="F433" s="520"/>
      <c r="G433" s="520"/>
      <c r="H433" s="520"/>
      <c r="I433" s="520"/>
    </row>
    <row r="434" spans="6:9">
      <c r="F434" s="520"/>
      <c r="G434" s="520"/>
      <c r="H434" s="520"/>
      <c r="I434" s="520"/>
    </row>
    <row r="435" spans="6:9">
      <c r="F435" s="520"/>
      <c r="G435" s="520"/>
      <c r="H435" s="520"/>
      <c r="I435" s="520"/>
    </row>
    <row r="436" spans="6:9">
      <c r="F436" s="520"/>
      <c r="G436" s="520"/>
      <c r="H436" s="520"/>
      <c r="I436" s="520"/>
    </row>
    <row r="437" spans="6:9">
      <c r="F437" s="520"/>
      <c r="G437" s="520"/>
      <c r="H437" s="520"/>
      <c r="I437" s="520"/>
    </row>
    <row r="438" spans="6:9">
      <c r="F438" s="520"/>
      <c r="G438" s="520"/>
      <c r="H438" s="520"/>
      <c r="I438" s="520"/>
    </row>
    <row r="439" spans="6:9">
      <c r="F439" s="520"/>
      <c r="G439" s="520"/>
      <c r="H439" s="520"/>
      <c r="I439" s="520"/>
    </row>
    <row r="440" spans="6:9">
      <c r="F440" s="520"/>
      <c r="G440" s="520"/>
      <c r="H440" s="520"/>
      <c r="I440" s="520"/>
    </row>
    <row r="441" spans="6:9">
      <c r="F441" s="520"/>
      <c r="G441" s="520"/>
      <c r="H441" s="520"/>
      <c r="I441" s="520"/>
    </row>
    <row r="442" spans="6:9">
      <c r="F442" s="520"/>
      <c r="G442" s="520"/>
      <c r="H442" s="520"/>
      <c r="I442" s="520"/>
    </row>
    <row r="443" spans="6:9">
      <c r="F443" s="520"/>
      <c r="G443" s="520"/>
      <c r="H443" s="520"/>
      <c r="I443" s="520"/>
    </row>
    <row r="444" spans="6:9">
      <c r="F444" s="520"/>
      <c r="G444" s="520"/>
      <c r="H444" s="520"/>
      <c r="I444" s="520"/>
    </row>
    <row r="445" spans="6:9">
      <c r="F445" s="520"/>
      <c r="G445" s="520"/>
      <c r="H445" s="520"/>
      <c r="I445" s="520"/>
    </row>
    <row r="446" spans="6:9">
      <c r="F446" s="520"/>
      <c r="G446" s="520"/>
      <c r="H446" s="520"/>
      <c r="I446" s="520"/>
    </row>
    <row r="447" spans="6:9">
      <c r="F447" s="520"/>
      <c r="G447" s="520"/>
      <c r="H447" s="520"/>
      <c r="I447" s="520"/>
    </row>
    <row r="448" spans="6:9">
      <c r="F448" s="520"/>
      <c r="G448" s="520"/>
      <c r="H448" s="520"/>
      <c r="I448" s="520"/>
    </row>
    <row r="449" spans="6:9">
      <c r="F449" s="520"/>
      <c r="G449" s="520"/>
      <c r="H449" s="520"/>
      <c r="I449" s="520"/>
    </row>
    <row r="450" spans="6:9">
      <c r="F450" s="520"/>
      <c r="G450" s="520"/>
      <c r="H450" s="520"/>
      <c r="I450" s="520"/>
    </row>
    <row r="451" spans="6:9">
      <c r="F451" s="520"/>
      <c r="G451" s="520"/>
      <c r="H451" s="520"/>
      <c r="I451" s="520"/>
    </row>
    <row r="452" spans="6:9">
      <c r="F452" s="520"/>
      <c r="G452" s="520"/>
      <c r="H452" s="520"/>
      <c r="I452" s="520"/>
    </row>
    <row r="453" spans="6:9">
      <c r="F453" s="520"/>
      <c r="G453" s="520"/>
      <c r="H453" s="520"/>
      <c r="I453" s="520"/>
    </row>
    <row r="454" spans="6:9">
      <c r="F454" s="520"/>
      <c r="G454" s="520"/>
      <c r="H454" s="520"/>
      <c r="I454" s="520"/>
    </row>
    <row r="455" spans="6:9">
      <c r="F455" s="520"/>
      <c r="G455" s="520"/>
      <c r="H455" s="520"/>
      <c r="I455" s="520"/>
    </row>
    <row r="456" spans="6:9">
      <c r="F456" s="520"/>
      <c r="G456" s="520"/>
      <c r="H456" s="520"/>
      <c r="I456" s="520"/>
    </row>
    <row r="457" spans="6:9">
      <c r="F457" s="520"/>
      <c r="G457" s="520"/>
      <c r="H457" s="520"/>
      <c r="I457" s="520"/>
    </row>
    <row r="458" spans="6:9">
      <c r="F458" s="520"/>
      <c r="G458" s="520"/>
      <c r="H458" s="520"/>
      <c r="I458" s="520"/>
    </row>
    <row r="459" spans="6:9">
      <c r="F459" s="520"/>
      <c r="G459" s="520"/>
      <c r="H459" s="520"/>
      <c r="I459" s="520"/>
    </row>
    <row r="460" spans="6:9">
      <c r="F460" s="520"/>
      <c r="G460" s="520"/>
      <c r="H460" s="520"/>
      <c r="I460" s="520"/>
    </row>
    <row r="461" spans="6:9">
      <c r="F461" s="520"/>
      <c r="G461" s="520"/>
      <c r="H461" s="520"/>
      <c r="I461" s="520"/>
    </row>
    <row r="462" spans="6:9">
      <c r="F462" s="520"/>
      <c r="G462" s="520"/>
      <c r="H462" s="520"/>
      <c r="I462" s="520"/>
    </row>
    <row r="463" spans="6:9">
      <c r="F463" s="520"/>
      <c r="G463" s="520"/>
      <c r="H463" s="520"/>
      <c r="I463" s="520"/>
    </row>
    <row r="464" spans="6:9">
      <c r="F464" s="520"/>
      <c r="G464" s="520"/>
      <c r="H464" s="520"/>
      <c r="I464" s="520"/>
    </row>
    <row r="465" spans="6:9">
      <c r="F465" s="520"/>
      <c r="G465" s="520"/>
      <c r="H465" s="520"/>
      <c r="I465" s="520"/>
    </row>
    <row r="466" spans="6:9">
      <c r="F466" s="520"/>
      <c r="G466" s="520"/>
      <c r="H466" s="520"/>
      <c r="I466" s="520"/>
    </row>
    <row r="467" spans="6:9">
      <c r="F467" s="520"/>
      <c r="G467" s="520"/>
      <c r="H467" s="520"/>
      <c r="I467" s="520"/>
    </row>
    <row r="468" spans="6:9">
      <c r="F468" s="520"/>
      <c r="G468" s="520"/>
      <c r="H468" s="520"/>
      <c r="I468" s="520"/>
    </row>
    <row r="469" spans="6:9">
      <c r="F469" s="520"/>
      <c r="G469" s="520"/>
      <c r="H469" s="520"/>
      <c r="I469" s="520"/>
    </row>
    <row r="470" spans="6:9">
      <c r="F470" s="520"/>
      <c r="G470" s="520"/>
      <c r="H470" s="520"/>
      <c r="I470" s="520"/>
    </row>
    <row r="471" spans="6:9">
      <c r="F471" s="520"/>
      <c r="G471" s="520"/>
      <c r="H471" s="520"/>
      <c r="I471" s="520"/>
    </row>
    <row r="472" spans="6:9">
      <c r="F472" s="520"/>
      <c r="G472" s="520"/>
      <c r="H472" s="520"/>
      <c r="I472" s="520"/>
    </row>
    <row r="473" spans="6:9">
      <c r="F473" s="520"/>
      <c r="G473" s="520"/>
      <c r="H473" s="520"/>
      <c r="I473" s="520"/>
    </row>
    <row r="474" spans="6:9">
      <c r="F474" s="520"/>
      <c r="G474" s="520"/>
      <c r="H474" s="520"/>
      <c r="I474" s="520"/>
    </row>
    <row r="475" spans="6:9">
      <c r="F475" s="520"/>
      <c r="G475" s="520"/>
      <c r="H475" s="520"/>
      <c r="I475" s="520"/>
    </row>
    <row r="476" spans="6:9">
      <c r="F476" s="520"/>
      <c r="G476" s="520"/>
      <c r="H476" s="520"/>
      <c r="I476" s="520"/>
    </row>
    <row r="477" spans="6:9">
      <c r="F477" s="520"/>
      <c r="G477" s="520"/>
      <c r="H477" s="520"/>
      <c r="I477" s="520"/>
    </row>
    <row r="478" spans="6:9">
      <c r="F478" s="520"/>
      <c r="G478" s="520"/>
      <c r="H478" s="520"/>
      <c r="I478" s="520"/>
    </row>
    <row r="479" spans="6:9">
      <c r="F479" s="520"/>
      <c r="G479" s="520"/>
      <c r="H479" s="520"/>
      <c r="I479" s="520"/>
    </row>
    <row r="480" spans="6:9">
      <c r="F480" s="520"/>
      <c r="G480" s="520"/>
      <c r="H480" s="520"/>
      <c r="I480" s="520"/>
    </row>
    <row r="481" spans="6:9">
      <c r="F481" s="520"/>
      <c r="G481" s="520"/>
      <c r="H481" s="520"/>
      <c r="I481" s="520"/>
    </row>
    <row r="482" spans="6:9">
      <c r="F482" s="520"/>
      <c r="G482" s="520"/>
      <c r="H482" s="520"/>
      <c r="I482" s="520"/>
    </row>
    <row r="483" spans="6:9">
      <c r="F483" s="520"/>
      <c r="G483" s="520"/>
      <c r="H483" s="520"/>
      <c r="I483" s="520"/>
    </row>
    <row r="484" spans="6:9">
      <c r="F484" s="520"/>
      <c r="G484" s="520"/>
      <c r="H484" s="520"/>
      <c r="I484" s="520"/>
    </row>
    <row r="485" spans="6:9">
      <c r="F485" s="520"/>
      <c r="G485" s="520"/>
      <c r="H485" s="520"/>
      <c r="I485" s="520"/>
    </row>
    <row r="486" spans="6:9">
      <c r="F486" s="520"/>
      <c r="G486" s="520"/>
      <c r="H486" s="520"/>
      <c r="I486" s="520"/>
    </row>
    <row r="487" spans="6:9">
      <c r="F487" s="520"/>
      <c r="G487" s="520"/>
      <c r="H487" s="520"/>
      <c r="I487" s="520"/>
    </row>
    <row r="488" spans="6:9">
      <c r="F488" s="520"/>
      <c r="G488" s="520"/>
      <c r="H488" s="520"/>
      <c r="I488" s="520"/>
    </row>
    <row r="489" spans="6:9">
      <c r="F489" s="520"/>
      <c r="G489" s="520"/>
      <c r="H489" s="520"/>
      <c r="I489" s="520"/>
    </row>
    <row r="490" spans="6:9">
      <c r="F490" s="520"/>
      <c r="G490" s="520"/>
      <c r="H490" s="520"/>
      <c r="I490" s="520"/>
    </row>
    <row r="491" spans="6:9">
      <c r="F491" s="520"/>
      <c r="G491" s="520"/>
      <c r="H491" s="520"/>
      <c r="I491" s="520"/>
    </row>
    <row r="492" spans="6:9">
      <c r="F492" s="520"/>
      <c r="G492" s="520"/>
      <c r="H492" s="520"/>
      <c r="I492" s="520"/>
    </row>
    <row r="493" spans="6:9">
      <c r="F493" s="520"/>
      <c r="G493" s="520"/>
      <c r="H493" s="520"/>
      <c r="I493" s="520"/>
    </row>
    <row r="494" spans="6:9">
      <c r="F494" s="520"/>
      <c r="G494" s="520"/>
      <c r="H494" s="520"/>
      <c r="I494" s="520"/>
    </row>
    <row r="495" spans="6:9">
      <c r="F495" s="520"/>
      <c r="G495" s="520"/>
      <c r="H495" s="520"/>
      <c r="I495" s="520"/>
    </row>
    <row r="496" spans="6:9">
      <c r="F496" s="520"/>
      <c r="G496" s="520"/>
      <c r="H496" s="520"/>
      <c r="I496" s="520"/>
    </row>
    <row r="497" spans="6:9">
      <c r="F497" s="520"/>
      <c r="G497" s="520"/>
      <c r="H497" s="520"/>
      <c r="I497" s="520"/>
    </row>
    <row r="498" spans="6:9">
      <c r="F498" s="520"/>
      <c r="G498" s="520"/>
      <c r="H498" s="520"/>
      <c r="I498" s="520"/>
    </row>
    <row r="499" spans="6:9">
      <c r="F499" s="520"/>
      <c r="G499" s="520"/>
      <c r="H499" s="520"/>
      <c r="I499" s="520"/>
    </row>
    <row r="500" spans="6:9">
      <c r="F500" s="520"/>
      <c r="G500" s="520"/>
      <c r="H500" s="520"/>
      <c r="I500" s="520"/>
    </row>
    <row r="501" spans="6:9">
      <c r="F501" s="520"/>
      <c r="G501" s="520"/>
      <c r="H501" s="520"/>
      <c r="I501" s="520"/>
    </row>
    <row r="502" spans="6:9">
      <c r="F502" s="520"/>
      <c r="G502" s="520"/>
      <c r="H502" s="520"/>
      <c r="I502" s="520"/>
    </row>
    <row r="503" spans="6:9">
      <c r="F503" s="520"/>
      <c r="G503" s="520"/>
      <c r="H503" s="520"/>
      <c r="I503" s="520"/>
    </row>
    <row r="504" spans="6:9">
      <c r="F504" s="520"/>
      <c r="G504" s="520"/>
      <c r="H504" s="520"/>
      <c r="I504" s="520"/>
    </row>
    <row r="505" spans="6:9">
      <c r="F505" s="520"/>
      <c r="G505" s="520"/>
      <c r="H505" s="520"/>
      <c r="I505" s="520"/>
    </row>
    <row r="506" spans="6:9">
      <c r="F506" s="520"/>
      <c r="G506" s="520"/>
      <c r="H506" s="520"/>
      <c r="I506" s="520"/>
    </row>
    <row r="507" spans="6:9">
      <c r="F507" s="520"/>
      <c r="G507" s="520"/>
      <c r="H507" s="520"/>
      <c r="I507" s="520"/>
    </row>
    <row r="508" spans="6:9">
      <c r="F508" s="520"/>
      <c r="G508" s="520"/>
      <c r="H508" s="520"/>
      <c r="I508" s="520"/>
    </row>
    <row r="509" spans="6:9">
      <c r="F509" s="520"/>
      <c r="G509" s="520"/>
      <c r="H509" s="520"/>
      <c r="I509" s="520"/>
    </row>
    <row r="510" spans="6:9">
      <c r="F510" s="520"/>
      <c r="G510" s="520"/>
      <c r="H510" s="520"/>
      <c r="I510" s="520"/>
    </row>
    <row r="511" spans="6:9">
      <c r="F511" s="520"/>
      <c r="G511" s="520"/>
      <c r="H511" s="520"/>
      <c r="I511" s="520"/>
    </row>
    <row r="512" spans="6:9">
      <c r="F512" s="520"/>
      <c r="G512" s="520"/>
      <c r="H512" s="520"/>
      <c r="I512" s="520"/>
    </row>
    <row r="513" spans="6:9">
      <c r="F513" s="520"/>
      <c r="G513" s="520"/>
      <c r="H513" s="520"/>
      <c r="I513" s="520"/>
    </row>
    <row r="514" spans="6:9">
      <c r="F514" s="520"/>
      <c r="G514" s="520"/>
      <c r="H514" s="520"/>
      <c r="I514" s="520"/>
    </row>
    <row r="515" spans="6:9">
      <c r="F515" s="520"/>
      <c r="G515" s="520"/>
      <c r="H515" s="520"/>
      <c r="I515" s="520"/>
    </row>
    <row r="516" spans="6:9">
      <c r="F516" s="520"/>
      <c r="G516" s="520"/>
      <c r="H516" s="520"/>
      <c r="I516" s="520"/>
    </row>
    <row r="517" spans="6:9">
      <c r="F517" s="520"/>
      <c r="G517" s="520"/>
      <c r="H517" s="520"/>
      <c r="I517" s="520"/>
    </row>
    <row r="518" spans="6:9">
      <c r="F518" s="520"/>
      <c r="G518" s="520"/>
      <c r="H518" s="520"/>
      <c r="I518" s="520"/>
    </row>
    <row r="519" spans="6:9">
      <c r="F519" s="520"/>
      <c r="G519" s="520"/>
      <c r="H519" s="520"/>
      <c r="I519" s="520"/>
    </row>
    <row r="520" spans="6:9">
      <c r="F520" s="520"/>
      <c r="G520" s="520"/>
      <c r="H520" s="520"/>
      <c r="I520" s="520"/>
    </row>
    <row r="521" spans="6:9">
      <c r="F521" s="520"/>
      <c r="G521" s="520"/>
      <c r="H521" s="520"/>
      <c r="I521" s="520"/>
    </row>
    <row r="522" spans="6:9">
      <c r="F522" s="520"/>
      <c r="G522" s="520"/>
      <c r="H522" s="520"/>
      <c r="I522" s="520"/>
    </row>
    <row r="523" spans="6:9">
      <c r="F523" s="520"/>
      <c r="G523" s="520"/>
      <c r="H523" s="520"/>
      <c r="I523" s="520"/>
    </row>
    <row r="524" spans="6:9">
      <c r="F524" s="520"/>
      <c r="G524" s="520"/>
      <c r="H524" s="520"/>
      <c r="I524" s="520"/>
    </row>
    <row r="525" spans="6:9">
      <c r="F525" s="520"/>
      <c r="G525" s="520"/>
      <c r="H525" s="520"/>
      <c r="I525" s="520"/>
    </row>
    <row r="526" spans="6:9">
      <c r="F526" s="520"/>
      <c r="G526" s="520"/>
      <c r="H526" s="520"/>
      <c r="I526" s="520"/>
    </row>
    <row r="527" spans="6:9">
      <c r="F527" s="520"/>
      <c r="G527" s="520"/>
      <c r="H527" s="520"/>
      <c r="I527" s="520"/>
    </row>
    <row r="528" spans="6:9">
      <c r="F528" s="520"/>
      <c r="G528" s="520"/>
      <c r="H528" s="520"/>
      <c r="I528" s="520"/>
    </row>
    <row r="529" spans="6:9">
      <c r="F529" s="520"/>
      <c r="G529" s="520"/>
      <c r="H529" s="520"/>
      <c r="I529" s="520"/>
    </row>
    <row r="530" spans="6:9">
      <c r="F530" s="520"/>
      <c r="G530" s="520"/>
      <c r="H530" s="520"/>
      <c r="I530" s="520"/>
    </row>
    <row r="531" spans="6:9">
      <c r="F531" s="520"/>
      <c r="G531" s="520"/>
      <c r="H531" s="520"/>
      <c r="I531" s="520"/>
    </row>
    <row r="532" spans="6:9">
      <c r="F532" s="520"/>
      <c r="G532" s="520"/>
      <c r="H532" s="520"/>
      <c r="I532" s="520"/>
    </row>
    <row r="533" spans="6:9">
      <c r="F533" s="520"/>
      <c r="G533" s="520"/>
      <c r="H533" s="520"/>
      <c r="I533" s="520"/>
    </row>
    <row r="534" spans="6:9">
      <c r="F534" s="520"/>
      <c r="G534" s="520"/>
      <c r="H534" s="520"/>
      <c r="I534" s="520"/>
    </row>
    <row r="535" spans="6:9">
      <c r="F535" s="520"/>
      <c r="G535" s="520"/>
      <c r="H535" s="520"/>
      <c r="I535" s="520"/>
    </row>
    <row r="536" spans="6:9">
      <c r="F536" s="520"/>
      <c r="G536" s="520"/>
      <c r="H536" s="520"/>
      <c r="I536" s="520"/>
    </row>
    <row r="537" spans="6:9">
      <c r="F537" s="520"/>
      <c r="G537" s="520"/>
      <c r="H537" s="520"/>
      <c r="I537" s="520"/>
    </row>
    <row r="538" spans="6:9">
      <c r="F538" s="520"/>
      <c r="G538" s="520"/>
      <c r="H538" s="520"/>
      <c r="I538" s="520"/>
    </row>
    <row r="539" spans="6:9">
      <c r="F539" s="520"/>
      <c r="G539" s="520"/>
      <c r="H539" s="520"/>
      <c r="I539" s="520"/>
    </row>
    <row r="540" spans="6:9">
      <c r="F540" s="520"/>
      <c r="G540" s="520"/>
      <c r="H540" s="520"/>
      <c r="I540" s="520"/>
    </row>
    <row r="541" spans="6:9">
      <c r="F541" s="520"/>
      <c r="G541" s="520"/>
      <c r="H541" s="520"/>
      <c r="I541" s="520"/>
    </row>
    <row r="542" spans="6:9">
      <c r="F542" s="520"/>
      <c r="G542" s="520"/>
      <c r="H542" s="520"/>
      <c r="I542" s="520"/>
    </row>
    <row r="543" spans="6:9">
      <c r="F543" s="520"/>
      <c r="G543" s="520"/>
      <c r="H543" s="520"/>
      <c r="I543" s="520"/>
    </row>
    <row r="544" spans="6:9">
      <c r="F544" s="520"/>
      <c r="G544" s="520"/>
      <c r="H544" s="520"/>
      <c r="I544" s="520"/>
    </row>
    <row r="545" spans="6:9">
      <c r="F545" s="520"/>
      <c r="G545" s="520"/>
      <c r="H545" s="520"/>
      <c r="I545" s="520"/>
    </row>
    <row r="546" spans="6:9">
      <c r="F546" s="520"/>
      <c r="G546" s="520"/>
      <c r="H546" s="520"/>
      <c r="I546" s="520"/>
    </row>
    <row r="547" spans="6:9">
      <c r="F547" s="520"/>
      <c r="G547" s="520"/>
      <c r="H547" s="520"/>
      <c r="I547" s="520"/>
    </row>
    <row r="548" spans="6:9">
      <c r="F548" s="520"/>
      <c r="G548" s="520"/>
      <c r="H548" s="520"/>
      <c r="I548" s="520"/>
    </row>
    <row r="549" spans="6:9">
      <c r="F549" s="520"/>
      <c r="G549" s="520"/>
      <c r="H549" s="520"/>
      <c r="I549" s="520"/>
    </row>
    <row r="550" spans="6:9">
      <c r="F550" s="520"/>
      <c r="G550" s="520"/>
      <c r="H550" s="520"/>
      <c r="I550" s="520"/>
    </row>
    <row r="551" spans="6:9">
      <c r="F551" s="520"/>
      <c r="G551" s="520"/>
      <c r="H551" s="520"/>
      <c r="I551" s="520"/>
    </row>
    <row r="552" spans="6:9">
      <c r="F552" s="520"/>
      <c r="G552" s="520"/>
      <c r="H552" s="520"/>
      <c r="I552" s="520"/>
    </row>
    <row r="553" spans="6:9">
      <c r="F553" s="520"/>
      <c r="G553" s="520"/>
      <c r="H553" s="520"/>
      <c r="I553" s="520"/>
    </row>
    <row r="554" spans="6:9">
      <c r="F554" s="520"/>
      <c r="G554" s="520"/>
      <c r="H554" s="520"/>
      <c r="I554" s="520"/>
    </row>
    <row r="555" spans="6:9">
      <c r="F555" s="520"/>
      <c r="G555" s="520"/>
      <c r="H555" s="520"/>
      <c r="I555" s="520"/>
    </row>
    <row r="556" spans="6:9">
      <c r="F556" s="520"/>
      <c r="G556" s="520"/>
      <c r="H556" s="520"/>
      <c r="I556" s="520"/>
    </row>
    <row r="557" spans="6:9">
      <c r="F557" s="520"/>
      <c r="G557" s="520"/>
      <c r="H557" s="520"/>
      <c r="I557" s="520"/>
    </row>
    <row r="558" spans="6:9">
      <c r="F558" s="520"/>
      <c r="G558" s="520"/>
      <c r="H558" s="520"/>
      <c r="I558" s="520"/>
    </row>
    <row r="559" spans="6:9">
      <c r="F559" s="520"/>
      <c r="G559" s="520"/>
      <c r="H559" s="520"/>
      <c r="I559" s="520"/>
    </row>
    <row r="560" spans="6:9">
      <c r="F560" s="520"/>
      <c r="G560" s="520"/>
      <c r="H560" s="520"/>
      <c r="I560" s="520"/>
    </row>
    <row r="561" spans="6:9">
      <c r="F561" s="520"/>
      <c r="G561" s="520"/>
      <c r="H561" s="520"/>
      <c r="I561" s="520"/>
    </row>
    <row r="562" spans="6:9">
      <c r="F562" s="520"/>
      <c r="G562" s="520"/>
      <c r="H562" s="520"/>
      <c r="I562" s="520"/>
    </row>
    <row r="563" spans="6:9">
      <c r="F563" s="520"/>
      <c r="G563" s="520"/>
      <c r="H563" s="520"/>
      <c r="I563" s="520"/>
    </row>
    <row r="564" spans="6:9">
      <c r="F564" s="520"/>
      <c r="G564" s="520"/>
      <c r="H564" s="520"/>
      <c r="I564" s="520"/>
    </row>
    <row r="565" spans="6:9">
      <c r="F565" s="520"/>
      <c r="G565" s="520"/>
      <c r="H565" s="520"/>
      <c r="I565" s="520"/>
    </row>
    <row r="566" spans="6:9">
      <c r="F566" s="520"/>
      <c r="G566" s="520"/>
      <c r="H566" s="520"/>
      <c r="I566" s="520"/>
    </row>
    <row r="567" spans="6:9">
      <c r="F567" s="520"/>
      <c r="G567" s="520"/>
      <c r="H567" s="520"/>
      <c r="I567" s="520"/>
    </row>
    <row r="568" spans="6:9">
      <c r="F568" s="520"/>
      <c r="G568" s="520"/>
      <c r="H568" s="520"/>
      <c r="I568" s="520"/>
    </row>
    <row r="569" spans="6:9">
      <c r="F569" s="520"/>
      <c r="G569" s="520"/>
      <c r="H569" s="520"/>
      <c r="I569" s="520"/>
    </row>
    <row r="570" spans="6:9">
      <c r="F570" s="520"/>
      <c r="G570" s="520"/>
      <c r="H570" s="520"/>
      <c r="I570" s="520"/>
    </row>
    <row r="571" spans="6:9">
      <c r="F571" s="520"/>
      <c r="G571" s="520"/>
      <c r="H571" s="520"/>
      <c r="I571" s="520"/>
    </row>
    <row r="572" spans="6:9">
      <c r="F572" s="520"/>
      <c r="G572" s="520"/>
      <c r="H572" s="520"/>
      <c r="I572" s="520"/>
    </row>
    <row r="573" spans="6:9">
      <c r="F573" s="520"/>
      <c r="G573" s="520"/>
      <c r="H573" s="520"/>
      <c r="I573" s="520"/>
    </row>
    <row r="574" spans="6:9">
      <c r="F574" s="520"/>
      <c r="G574" s="520"/>
      <c r="H574" s="520"/>
      <c r="I574" s="520"/>
    </row>
    <row r="575" spans="6:9">
      <c r="F575" s="520"/>
      <c r="G575" s="520"/>
      <c r="H575" s="520"/>
      <c r="I575" s="520"/>
    </row>
    <row r="576" spans="6:9">
      <c r="F576" s="520"/>
      <c r="G576" s="520"/>
      <c r="H576" s="520"/>
      <c r="I576" s="520"/>
    </row>
    <row r="577" spans="6:9">
      <c r="F577" s="520"/>
      <c r="G577" s="520"/>
      <c r="H577" s="520"/>
      <c r="I577" s="520"/>
    </row>
    <row r="578" spans="6:9">
      <c r="F578" s="520"/>
      <c r="G578" s="520"/>
      <c r="H578" s="520"/>
      <c r="I578" s="520"/>
    </row>
    <row r="579" spans="6:9">
      <c r="F579" s="520"/>
      <c r="G579" s="520"/>
      <c r="H579" s="520"/>
      <c r="I579" s="520"/>
    </row>
    <row r="580" spans="6:9">
      <c r="F580" s="520"/>
      <c r="G580" s="520"/>
      <c r="H580" s="520"/>
      <c r="I580" s="520"/>
    </row>
    <row r="581" spans="6:9">
      <c r="F581" s="520"/>
      <c r="G581" s="520"/>
      <c r="H581" s="520"/>
      <c r="I581" s="520"/>
    </row>
    <row r="582" spans="6:9">
      <c r="F582" s="520"/>
      <c r="G582" s="520"/>
      <c r="H582" s="520"/>
      <c r="I582" s="520"/>
    </row>
    <row r="583" spans="6:9">
      <c r="F583" s="520"/>
      <c r="G583" s="520"/>
      <c r="H583" s="520"/>
      <c r="I583" s="520"/>
    </row>
    <row r="584" spans="6:9">
      <c r="F584" s="520"/>
      <c r="G584" s="520"/>
      <c r="H584" s="520"/>
      <c r="I584" s="520"/>
    </row>
    <row r="585" spans="6:9">
      <c r="F585" s="520"/>
      <c r="G585" s="520"/>
      <c r="H585" s="520"/>
      <c r="I585" s="520"/>
    </row>
    <row r="586" spans="6:9">
      <c r="F586" s="520"/>
      <c r="G586" s="520"/>
      <c r="H586" s="520"/>
      <c r="I586" s="520"/>
    </row>
    <row r="587" spans="6:9">
      <c r="F587" s="520"/>
      <c r="G587" s="520"/>
      <c r="H587" s="520"/>
      <c r="I587" s="520"/>
    </row>
    <row r="588" spans="6:9">
      <c r="F588" s="520"/>
      <c r="G588" s="520"/>
      <c r="H588" s="520"/>
      <c r="I588" s="520"/>
    </row>
    <row r="589" spans="6:9">
      <c r="F589" s="520"/>
      <c r="G589" s="520"/>
      <c r="H589" s="520"/>
      <c r="I589" s="520"/>
    </row>
    <row r="590" spans="6:9">
      <c r="F590" s="520"/>
      <c r="G590" s="520"/>
      <c r="H590" s="520"/>
      <c r="I590" s="520"/>
    </row>
    <row r="591" spans="6:9">
      <c r="F591" s="520"/>
      <c r="G591" s="520"/>
      <c r="H591" s="520"/>
      <c r="I591" s="520"/>
    </row>
    <row r="592" spans="6:9">
      <c r="F592" s="520"/>
      <c r="G592" s="520"/>
      <c r="H592" s="520"/>
      <c r="I592" s="520"/>
    </row>
    <row r="593" spans="6:9">
      <c r="F593" s="520"/>
      <c r="G593" s="520"/>
      <c r="H593" s="520"/>
      <c r="I593" s="520"/>
    </row>
    <row r="594" spans="6:9">
      <c r="F594" s="520"/>
      <c r="G594" s="520"/>
      <c r="H594" s="520"/>
      <c r="I594" s="520"/>
    </row>
    <row r="595" spans="6:9">
      <c r="F595" s="520"/>
      <c r="G595" s="520"/>
      <c r="H595" s="520"/>
      <c r="I595" s="520"/>
    </row>
    <row r="596" spans="6:9">
      <c r="F596" s="520"/>
      <c r="G596" s="520"/>
      <c r="H596" s="520"/>
      <c r="I596" s="520"/>
    </row>
    <row r="597" spans="6:9">
      <c r="F597" s="520"/>
      <c r="G597" s="520"/>
      <c r="H597" s="520"/>
      <c r="I597" s="520"/>
    </row>
    <row r="598" spans="6:9">
      <c r="F598" s="520"/>
      <c r="G598" s="520"/>
      <c r="H598" s="520"/>
      <c r="I598" s="520"/>
    </row>
    <row r="599" spans="6:9">
      <c r="F599" s="520"/>
      <c r="G599" s="520"/>
      <c r="H599" s="520"/>
      <c r="I599" s="520"/>
    </row>
    <row r="600" spans="6:9">
      <c r="F600" s="520"/>
      <c r="G600" s="520"/>
      <c r="H600" s="520"/>
      <c r="I600" s="520"/>
    </row>
    <row r="601" spans="6:9">
      <c r="F601" s="520"/>
      <c r="G601" s="520"/>
      <c r="H601" s="520"/>
      <c r="I601" s="520"/>
    </row>
    <row r="602" spans="6:9">
      <c r="F602" s="520"/>
      <c r="G602" s="520"/>
      <c r="H602" s="520"/>
      <c r="I602" s="520"/>
    </row>
    <row r="603" spans="6:9">
      <c r="F603" s="520"/>
      <c r="G603" s="520"/>
      <c r="H603" s="520"/>
      <c r="I603" s="520"/>
    </row>
    <row r="604" spans="6:9">
      <c r="F604" s="520"/>
      <c r="G604" s="520"/>
      <c r="H604" s="520"/>
      <c r="I604" s="520"/>
    </row>
    <row r="605" spans="6:9">
      <c r="F605" s="520"/>
      <c r="G605" s="520"/>
      <c r="H605" s="520"/>
      <c r="I605" s="520"/>
    </row>
    <row r="606" spans="6:9">
      <c r="F606" s="520"/>
      <c r="G606" s="520"/>
      <c r="H606" s="520"/>
      <c r="I606" s="520"/>
    </row>
    <row r="607" spans="6:9">
      <c r="F607" s="520"/>
      <c r="G607" s="520"/>
      <c r="H607" s="520"/>
      <c r="I607" s="520"/>
    </row>
    <row r="608" spans="6:9">
      <c r="F608" s="520"/>
      <c r="G608" s="520"/>
      <c r="H608" s="520"/>
      <c r="I608" s="520"/>
    </row>
    <row r="609" spans="6:9">
      <c r="F609" s="520"/>
      <c r="G609" s="520"/>
      <c r="H609" s="520"/>
      <c r="I609" s="520"/>
    </row>
    <row r="610" spans="6:9">
      <c r="F610" s="520"/>
      <c r="G610" s="520"/>
      <c r="H610" s="520"/>
      <c r="I610" s="520"/>
    </row>
    <row r="611" spans="6:9">
      <c r="F611" s="520"/>
      <c r="G611" s="520"/>
      <c r="H611" s="520"/>
      <c r="I611" s="520"/>
    </row>
    <row r="612" spans="6:9">
      <c r="F612" s="520"/>
      <c r="G612" s="520"/>
      <c r="H612" s="520"/>
      <c r="I612" s="520"/>
    </row>
    <row r="613" spans="6:9">
      <c r="F613" s="520"/>
      <c r="G613" s="520"/>
      <c r="H613" s="520"/>
      <c r="I613" s="520"/>
    </row>
    <row r="614" spans="6:9">
      <c r="F614" s="520"/>
      <c r="G614" s="520"/>
      <c r="H614" s="520"/>
      <c r="I614" s="520"/>
    </row>
    <row r="615" spans="6:9">
      <c r="F615" s="520"/>
      <c r="G615" s="520"/>
      <c r="H615" s="520"/>
      <c r="I615" s="520"/>
    </row>
    <row r="616" spans="6:9">
      <c r="F616" s="520"/>
      <c r="G616" s="520"/>
      <c r="H616" s="520"/>
      <c r="I616" s="520"/>
    </row>
    <row r="617" spans="6:9">
      <c r="F617" s="520"/>
      <c r="G617" s="520"/>
      <c r="H617" s="520"/>
      <c r="I617" s="520"/>
    </row>
    <row r="618" spans="6:9">
      <c r="F618" s="520"/>
      <c r="G618" s="520"/>
      <c r="H618" s="520"/>
      <c r="I618" s="520"/>
    </row>
    <row r="619" spans="6:9">
      <c r="F619" s="520"/>
      <c r="G619" s="520"/>
      <c r="H619" s="520"/>
      <c r="I619" s="520"/>
    </row>
    <row r="620" spans="6:9">
      <c r="F620" s="520"/>
      <c r="G620" s="520"/>
      <c r="H620" s="520"/>
      <c r="I620" s="520"/>
    </row>
    <row r="621" spans="6:9">
      <c r="F621" s="520"/>
      <c r="G621" s="520"/>
      <c r="H621" s="520"/>
      <c r="I621" s="520"/>
    </row>
    <row r="622" spans="6:9">
      <c r="F622" s="520"/>
      <c r="G622" s="520"/>
      <c r="H622" s="520"/>
      <c r="I622" s="520"/>
    </row>
    <row r="623" spans="6:9">
      <c r="F623" s="520"/>
      <c r="G623" s="520"/>
      <c r="H623" s="520"/>
      <c r="I623" s="520"/>
    </row>
    <row r="624" spans="6:9">
      <c r="F624" s="520"/>
      <c r="G624" s="520"/>
      <c r="H624" s="520"/>
      <c r="I624" s="520"/>
    </row>
    <row r="625" spans="6:9">
      <c r="F625" s="520"/>
      <c r="G625" s="520"/>
      <c r="H625" s="520"/>
      <c r="I625" s="520"/>
    </row>
    <row r="626" spans="6:9">
      <c r="F626" s="520"/>
      <c r="G626" s="520"/>
      <c r="H626" s="520"/>
      <c r="I626" s="520"/>
    </row>
    <row r="627" spans="6:9">
      <c r="F627" s="520"/>
      <c r="G627" s="520"/>
      <c r="H627" s="520"/>
      <c r="I627" s="520"/>
    </row>
    <row r="628" spans="6:9">
      <c r="F628" s="520"/>
      <c r="G628" s="520"/>
      <c r="H628" s="520"/>
      <c r="I628" s="520"/>
    </row>
    <row r="629" spans="6:9">
      <c r="F629" s="520"/>
      <c r="G629" s="520"/>
      <c r="H629" s="520"/>
      <c r="I629" s="520"/>
    </row>
    <row r="630" spans="6:9">
      <c r="F630" s="520"/>
      <c r="G630" s="520"/>
      <c r="H630" s="520"/>
      <c r="I630" s="520"/>
    </row>
    <row r="631" spans="6:9">
      <c r="F631" s="520"/>
      <c r="G631" s="520"/>
      <c r="H631" s="520"/>
      <c r="I631" s="520"/>
    </row>
    <row r="632" spans="6:9">
      <c r="F632" s="520"/>
      <c r="G632" s="520"/>
      <c r="H632" s="520"/>
      <c r="I632" s="520"/>
    </row>
    <row r="633" spans="6:9">
      <c r="F633" s="520"/>
      <c r="G633" s="520"/>
      <c r="H633" s="520"/>
      <c r="I633" s="520"/>
    </row>
    <row r="634" spans="6:9">
      <c r="F634" s="520"/>
      <c r="G634" s="520"/>
      <c r="H634" s="520"/>
      <c r="I634" s="520"/>
    </row>
    <row r="635" spans="6:9">
      <c r="F635" s="520"/>
      <c r="G635" s="520"/>
      <c r="H635" s="520"/>
      <c r="I635" s="520"/>
    </row>
    <row r="636" spans="6:9">
      <c r="F636" s="520"/>
      <c r="G636" s="520"/>
      <c r="H636" s="520"/>
      <c r="I636" s="520"/>
    </row>
    <row r="637" spans="6:9">
      <c r="F637" s="520"/>
      <c r="G637" s="520"/>
      <c r="H637" s="520"/>
      <c r="I637" s="520"/>
    </row>
    <row r="638" spans="6:9">
      <c r="F638" s="520"/>
      <c r="G638" s="520"/>
      <c r="H638" s="520"/>
      <c r="I638" s="520"/>
    </row>
    <row r="639" spans="6:9">
      <c r="F639" s="520"/>
      <c r="G639" s="520"/>
      <c r="H639" s="520"/>
      <c r="I639" s="520"/>
    </row>
    <row r="640" spans="6:9">
      <c r="F640" s="520"/>
      <c r="G640" s="520"/>
      <c r="H640" s="520"/>
      <c r="I640" s="520"/>
    </row>
    <row r="641" spans="6:9">
      <c r="F641" s="520"/>
      <c r="G641" s="520"/>
      <c r="H641" s="520"/>
      <c r="I641" s="520"/>
    </row>
    <row r="642" spans="6:9">
      <c r="F642" s="520"/>
      <c r="G642" s="520"/>
      <c r="H642" s="520"/>
      <c r="I642" s="520"/>
    </row>
    <row r="643" spans="6:9">
      <c r="F643" s="520"/>
      <c r="G643" s="520"/>
      <c r="H643" s="520"/>
      <c r="I643" s="520"/>
    </row>
    <row r="644" spans="6:9">
      <c r="F644" s="520"/>
      <c r="G644" s="520"/>
      <c r="H644" s="520"/>
      <c r="I644" s="520"/>
    </row>
    <row r="645" spans="6:9">
      <c r="F645" s="520"/>
      <c r="G645" s="520"/>
      <c r="H645" s="520"/>
      <c r="I645" s="520"/>
    </row>
    <row r="646" spans="6:9">
      <c r="F646" s="520"/>
      <c r="G646" s="520"/>
      <c r="H646" s="520"/>
      <c r="I646" s="520"/>
    </row>
    <row r="647" spans="6:9">
      <c r="F647" s="520"/>
      <c r="G647" s="520"/>
      <c r="H647" s="520"/>
      <c r="I647" s="520"/>
    </row>
    <row r="648" spans="6:9">
      <c r="F648" s="520"/>
      <c r="G648" s="520"/>
      <c r="H648" s="520"/>
      <c r="I648" s="520"/>
    </row>
    <row r="649" spans="6:9">
      <c r="F649" s="520"/>
      <c r="G649" s="520"/>
      <c r="H649" s="520"/>
      <c r="I649" s="520"/>
    </row>
    <row r="650" spans="6:9">
      <c r="F650" s="520"/>
      <c r="G650" s="520"/>
      <c r="H650" s="520"/>
      <c r="I650" s="520"/>
    </row>
    <row r="651" spans="6:9">
      <c r="F651" s="520"/>
      <c r="G651" s="520"/>
      <c r="H651" s="520"/>
      <c r="I651" s="520"/>
    </row>
    <row r="652" spans="6:9">
      <c r="F652" s="520"/>
      <c r="G652" s="520"/>
      <c r="H652" s="520"/>
      <c r="I652" s="520"/>
    </row>
    <row r="653" spans="6:9">
      <c r="F653" s="520"/>
      <c r="G653" s="520"/>
      <c r="H653" s="520"/>
      <c r="I653" s="520"/>
    </row>
    <row r="654" spans="6:9">
      <c r="F654" s="520"/>
      <c r="G654" s="520"/>
      <c r="H654" s="520"/>
      <c r="I654" s="520"/>
    </row>
    <row r="655" spans="6:9">
      <c r="F655" s="520"/>
      <c r="G655" s="520"/>
      <c r="H655" s="520"/>
      <c r="I655" s="520"/>
    </row>
    <row r="656" spans="6:9">
      <c r="F656" s="520"/>
      <c r="G656" s="520"/>
      <c r="H656" s="520"/>
      <c r="I656" s="520"/>
    </row>
    <row r="657" spans="6:9">
      <c r="F657" s="520"/>
      <c r="G657" s="520"/>
      <c r="H657" s="520"/>
      <c r="I657" s="520"/>
    </row>
    <row r="658" spans="6:9">
      <c r="F658" s="520"/>
      <c r="G658" s="520"/>
      <c r="H658" s="520"/>
      <c r="I658" s="520"/>
    </row>
    <row r="659" spans="6:9">
      <c r="F659" s="520"/>
      <c r="G659" s="520"/>
      <c r="H659" s="520"/>
      <c r="I659" s="520"/>
    </row>
    <row r="660" spans="6:9">
      <c r="F660" s="520"/>
      <c r="G660" s="520"/>
      <c r="H660" s="520"/>
      <c r="I660" s="520"/>
    </row>
    <row r="661" spans="6:9">
      <c r="F661" s="520"/>
      <c r="G661" s="520"/>
      <c r="H661" s="520"/>
      <c r="I661" s="520"/>
    </row>
    <row r="662" spans="6:9">
      <c r="F662" s="520"/>
      <c r="G662" s="520"/>
      <c r="H662" s="520"/>
      <c r="I662" s="520"/>
    </row>
    <row r="663" spans="6:9">
      <c r="F663" s="520"/>
      <c r="G663" s="520"/>
      <c r="H663" s="520"/>
      <c r="I663" s="520"/>
    </row>
    <row r="664" spans="6:9">
      <c r="F664" s="520"/>
      <c r="G664" s="520"/>
      <c r="H664" s="520"/>
      <c r="I664" s="520"/>
    </row>
    <row r="665" spans="6:9">
      <c r="F665" s="520"/>
      <c r="G665" s="520"/>
      <c r="H665" s="520"/>
      <c r="I665" s="520"/>
    </row>
    <row r="666" spans="6:9">
      <c r="F666" s="520"/>
      <c r="G666" s="520"/>
      <c r="H666" s="520"/>
      <c r="I666" s="520"/>
    </row>
    <row r="667" spans="6:9">
      <c r="F667" s="520"/>
      <c r="G667" s="520"/>
      <c r="H667" s="520"/>
      <c r="I667" s="520"/>
    </row>
    <row r="668" spans="6:9">
      <c r="F668" s="520"/>
      <c r="G668" s="520"/>
      <c r="H668" s="520"/>
      <c r="I668" s="520"/>
    </row>
    <row r="669" spans="6:9">
      <c r="F669" s="520"/>
      <c r="G669" s="520"/>
      <c r="H669" s="520"/>
      <c r="I669" s="520"/>
    </row>
    <row r="670" spans="6:9">
      <c r="F670" s="520"/>
      <c r="G670" s="520"/>
      <c r="H670" s="520"/>
      <c r="I670" s="520"/>
    </row>
    <row r="671" spans="6:9">
      <c r="F671" s="520"/>
      <c r="G671" s="520"/>
      <c r="H671" s="520"/>
      <c r="I671" s="520"/>
    </row>
    <row r="672" spans="6:9">
      <c r="F672" s="520"/>
      <c r="G672" s="520"/>
      <c r="H672" s="520"/>
      <c r="I672" s="520"/>
    </row>
    <row r="673" spans="6:9">
      <c r="F673" s="520"/>
      <c r="G673" s="520"/>
      <c r="H673" s="520"/>
      <c r="I673" s="520"/>
    </row>
    <row r="674" spans="6:9">
      <c r="F674" s="520"/>
      <c r="G674" s="520"/>
      <c r="H674" s="520"/>
      <c r="I674" s="520"/>
    </row>
    <row r="675" spans="6:9">
      <c r="F675" s="520"/>
      <c r="G675" s="520"/>
      <c r="H675" s="520"/>
      <c r="I675" s="520"/>
    </row>
    <row r="676" spans="6:9">
      <c r="F676" s="520"/>
      <c r="G676" s="520"/>
      <c r="H676" s="520"/>
      <c r="I676" s="520"/>
    </row>
    <row r="677" spans="6:9">
      <c r="F677" s="520"/>
      <c r="G677" s="520"/>
      <c r="H677" s="520"/>
      <c r="I677" s="520"/>
    </row>
    <row r="678" spans="6:9">
      <c r="F678" s="520"/>
      <c r="G678" s="520"/>
      <c r="H678" s="520"/>
      <c r="I678" s="520"/>
    </row>
    <row r="679" spans="6:9">
      <c r="F679" s="520"/>
      <c r="G679" s="520"/>
      <c r="H679" s="520"/>
      <c r="I679" s="520"/>
    </row>
    <row r="680" spans="6:9">
      <c r="F680" s="520"/>
      <c r="G680" s="520"/>
      <c r="H680" s="520"/>
      <c r="I680" s="520"/>
    </row>
    <row r="681" spans="6:9">
      <c r="F681" s="520"/>
      <c r="G681" s="520"/>
      <c r="H681" s="520"/>
      <c r="I681" s="520"/>
    </row>
    <row r="682" spans="6:9">
      <c r="F682" s="520"/>
      <c r="G682" s="520"/>
      <c r="H682" s="520"/>
      <c r="I682" s="520"/>
    </row>
    <row r="683" spans="6:9">
      <c r="F683" s="520"/>
      <c r="G683" s="520"/>
      <c r="H683" s="520"/>
      <c r="I683" s="520"/>
    </row>
    <row r="684" spans="6:9">
      <c r="F684" s="520"/>
      <c r="G684" s="520"/>
      <c r="H684" s="520"/>
      <c r="I684" s="520"/>
    </row>
    <row r="685" spans="6:9">
      <c r="F685" s="520"/>
      <c r="G685" s="520"/>
      <c r="H685" s="520"/>
      <c r="I685" s="520"/>
    </row>
    <row r="686" spans="6:9">
      <c r="F686" s="520"/>
      <c r="G686" s="520"/>
      <c r="H686" s="520"/>
      <c r="I686" s="520"/>
    </row>
    <row r="687" spans="6:9">
      <c r="F687" s="520"/>
      <c r="G687" s="520"/>
      <c r="H687" s="520"/>
      <c r="I687" s="520"/>
    </row>
    <row r="688" spans="6:9">
      <c r="F688" s="520"/>
      <c r="G688" s="520"/>
      <c r="H688" s="520"/>
      <c r="I688" s="520"/>
    </row>
    <row r="689" spans="6:9">
      <c r="F689" s="520"/>
      <c r="G689" s="520"/>
      <c r="H689" s="520"/>
      <c r="I689" s="520"/>
    </row>
    <row r="690" spans="6:9">
      <c r="F690" s="520"/>
      <c r="G690" s="520"/>
      <c r="H690" s="520"/>
      <c r="I690" s="520"/>
    </row>
    <row r="691" spans="6:9">
      <c r="F691" s="520"/>
      <c r="G691" s="520"/>
      <c r="H691" s="520"/>
      <c r="I691" s="520"/>
    </row>
    <row r="692" spans="6:9">
      <c r="F692" s="520"/>
      <c r="G692" s="520"/>
      <c r="H692" s="520"/>
      <c r="I692" s="520"/>
    </row>
    <row r="693" spans="6:9">
      <c r="F693" s="520"/>
      <c r="G693" s="520"/>
      <c r="H693" s="520"/>
      <c r="I693" s="520"/>
    </row>
    <row r="694" spans="6:9">
      <c r="F694" s="520"/>
      <c r="G694" s="520"/>
      <c r="H694" s="520"/>
      <c r="I694" s="520"/>
    </row>
    <row r="695" spans="6:9">
      <c r="F695" s="520"/>
      <c r="G695" s="520"/>
      <c r="H695" s="520"/>
      <c r="I695" s="520"/>
    </row>
    <row r="696" spans="6:9">
      <c r="F696" s="520"/>
      <c r="G696" s="520"/>
      <c r="H696" s="520"/>
      <c r="I696" s="520"/>
    </row>
    <row r="697" spans="6:9">
      <c r="F697" s="520"/>
      <c r="G697" s="520"/>
      <c r="H697" s="520"/>
      <c r="I697" s="520"/>
    </row>
    <row r="698" spans="6:9">
      <c r="F698" s="520"/>
      <c r="G698" s="520"/>
      <c r="H698" s="520"/>
      <c r="I698" s="520"/>
    </row>
    <row r="699" spans="6:9">
      <c r="F699" s="520"/>
      <c r="G699" s="520"/>
      <c r="H699" s="520"/>
      <c r="I699" s="520"/>
    </row>
    <row r="700" spans="6:9">
      <c r="F700" s="520"/>
      <c r="G700" s="520"/>
      <c r="H700" s="520"/>
      <c r="I700" s="520"/>
    </row>
    <row r="701" spans="6:9">
      <c r="F701" s="520"/>
      <c r="G701" s="520"/>
      <c r="H701" s="520"/>
      <c r="I701" s="520"/>
    </row>
    <row r="702" spans="6:9">
      <c r="F702" s="520"/>
      <c r="G702" s="520"/>
      <c r="H702" s="520"/>
      <c r="I702" s="520"/>
    </row>
    <row r="703" spans="6:9">
      <c r="F703" s="520"/>
      <c r="G703" s="520"/>
      <c r="H703" s="520"/>
      <c r="I703" s="520"/>
    </row>
    <row r="704" spans="6:9">
      <c r="F704" s="520"/>
      <c r="G704" s="520"/>
      <c r="H704" s="520"/>
      <c r="I704" s="520"/>
    </row>
    <row r="705" spans="6:9">
      <c r="F705" s="520"/>
      <c r="G705" s="520"/>
      <c r="H705" s="520"/>
      <c r="I705" s="520"/>
    </row>
    <row r="706" spans="6:9">
      <c r="F706" s="520"/>
      <c r="G706" s="520"/>
      <c r="H706" s="520"/>
      <c r="I706" s="520"/>
    </row>
    <row r="707" spans="6:9">
      <c r="F707" s="520"/>
      <c r="G707" s="520"/>
      <c r="H707" s="520"/>
      <c r="I707" s="520"/>
    </row>
    <row r="708" spans="6:9">
      <c r="F708" s="520"/>
      <c r="G708" s="520"/>
      <c r="H708" s="520"/>
      <c r="I708" s="520"/>
    </row>
    <row r="709" spans="6:9">
      <c r="F709" s="520"/>
      <c r="G709" s="520"/>
      <c r="H709" s="520"/>
      <c r="I709" s="520"/>
    </row>
    <row r="710" spans="6:9">
      <c r="F710" s="520"/>
      <c r="G710" s="520"/>
      <c r="H710" s="520"/>
      <c r="I710" s="520"/>
    </row>
    <row r="711" spans="6:9">
      <c r="F711" s="520"/>
      <c r="G711" s="520"/>
      <c r="H711" s="520"/>
      <c r="I711" s="520"/>
    </row>
    <row r="712" spans="6:9">
      <c r="F712" s="520"/>
      <c r="G712" s="520"/>
      <c r="H712" s="520"/>
      <c r="I712" s="520"/>
    </row>
    <row r="713" spans="6:9">
      <c r="F713" s="520"/>
      <c r="G713" s="520"/>
      <c r="H713" s="520"/>
      <c r="I713" s="520"/>
    </row>
    <row r="714" spans="6:9">
      <c r="F714" s="520"/>
      <c r="G714" s="520"/>
      <c r="H714" s="520"/>
      <c r="I714" s="520"/>
    </row>
    <row r="715" spans="6:9">
      <c r="F715" s="520"/>
      <c r="G715" s="520"/>
      <c r="H715" s="520"/>
      <c r="I715" s="520"/>
    </row>
    <row r="716" spans="6:9">
      <c r="F716" s="520"/>
      <c r="G716" s="520"/>
      <c r="H716" s="520"/>
      <c r="I716" s="520"/>
    </row>
    <row r="717" spans="6:9">
      <c r="F717" s="520"/>
      <c r="G717" s="520"/>
      <c r="H717" s="520"/>
      <c r="I717" s="520"/>
    </row>
    <row r="718" spans="6:9">
      <c r="F718" s="520"/>
      <c r="G718" s="520"/>
      <c r="H718" s="520"/>
      <c r="I718" s="520"/>
    </row>
    <row r="719" spans="6:9">
      <c r="F719" s="520"/>
      <c r="G719" s="520"/>
      <c r="H719" s="520"/>
      <c r="I719" s="520"/>
    </row>
    <row r="720" spans="6:9">
      <c r="F720" s="520"/>
      <c r="G720" s="520"/>
      <c r="H720" s="520"/>
      <c r="I720" s="520"/>
    </row>
    <row r="721" spans="6:9">
      <c r="F721" s="520"/>
      <c r="G721" s="520"/>
      <c r="H721" s="520"/>
      <c r="I721" s="520"/>
    </row>
    <row r="722" spans="6:9">
      <c r="F722" s="520"/>
      <c r="G722" s="520"/>
      <c r="H722" s="520"/>
      <c r="I722" s="520"/>
    </row>
    <row r="723" spans="6:9">
      <c r="F723" s="520"/>
      <c r="G723" s="520"/>
      <c r="H723" s="520"/>
      <c r="I723" s="520"/>
    </row>
    <row r="724" spans="6:9">
      <c r="F724" s="520"/>
      <c r="G724" s="520"/>
      <c r="H724" s="520"/>
      <c r="I724" s="520"/>
    </row>
    <row r="725" spans="6:9">
      <c r="F725" s="520"/>
      <c r="G725" s="520"/>
      <c r="H725" s="520"/>
      <c r="I725" s="520"/>
    </row>
    <row r="726" spans="6:9">
      <c r="F726" s="520"/>
      <c r="G726" s="520"/>
      <c r="H726" s="520"/>
      <c r="I726" s="520"/>
    </row>
    <row r="727" spans="6:9">
      <c r="F727" s="520"/>
      <c r="G727" s="520"/>
      <c r="H727" s="520"/>
      <c r="I727" s="520"/>
    </row>
    <row r="728" spans="6:9">
      <c r="F728" s="520"/>
      <c r="G728" s="520"/>
      <c r="H728" s="520"/>
      <c r="I728" s="520"/>
    </row>
    <row r="729" spans="6:9">
      <c r="F729" s="520"/>
      <c r="G729" s="520"/>
      <c r="H729" s="520"/>
      <c r="I729" s="520"/>
    </row>
    <row r="730" spans="6:9">
      <c r="F730" s="520"/>
      <c r="G730" s="520"/>
      <c r="H730" s="520"/>
      <c r="I730" s="520"/>
    </row>
    <row r="731" spans="6:9">
      <c r="F731" s="520"/>
      <c r="G731" s="520"/>
      <c r="H731" s="520"/>
      <c r="I731" s="520"/>
    </row>
    <row r="732" spans="6:9">
      <c r="F732" s="520"/>
      <c r="G732" s="520"/>
      <c r="H732" s="520"/>
      <c r="I732" s="520"/>
    </row>
    <row r="733" spans="6:9">
      <c r="F733" s="520"/>
      <c r="G733" s="520"/>
      <c r="H733" s="520"/>
      <c r="I733" s="520"/>
    </row>
    <row r="734" spans="6:9">
      <c r="F734" s="520"/>
      <c r="G734" s="520"/>
      <c r="H734" s="520"/>
      <c r="I734" s="520"/>
    </row>
    <row r="735" spans="6:9">
      <c r="F735" s="520"/>
      <c r="G735" s="520"/>
      <c r="H735" s="520"/>
      <c r="I735" s="520"/>
    </row>
    <row r="736" spans="6:9">
      <c r="F736" s="520"/>
      <c r="G736" s="520"/>
      <c r="H736" s="520"/>
      <c r="I736" s="520"/>
    </row>
    <row r="737" spans="6:9">
      <c r="F737" s="520"/>
      <c r="G737" s="520"/>
      <c r="H737" s="520"/>
      <c r="I737" s="520"/>
    </row>
    <row r="738" spans="6:9">
      <c r="F738" s="520"/>
      <c r="G738" s="520"/>
      <c r="H738" s="520"/>
      <c r="I738" s="520"/>
    </row>
    <row r="739" spans="6:9">
      <c r="F739" s="520"/>
      <c r="G739" s="520"/>
      <c r="H739" s="520"/>
      <c r="I739" s="520"/>
    </row>
    <row r="740" spans="6:9">
      <c r="F740" s="520"/>
      <c r="G740" s="520"/>
      <c r="H740" s="520"/>
      <c r="I740" s="520"/>
    </row>
    <row r="741" spans="6:9">
      <c r="F741" s="520"/>
      <c r="G741" s="520"/>
      <c r="H741" s="520"/>
      <c r="I741" s="520"/>
    </row>
    <row r="742" spans="6:9">
      <c r="F742" s="520"/>
      <c r="G742" s="520"/>
      <c r="H742" s="520"/>
      <c r="I742" s="520"/>
    </row>
    <row r="743" spans="6:9">
      <c r="F743" s="520"/>
      <c r="G743" s="520"/>
      <c r="H743" s="520"/>
      <c r="I743" s="520"/>
    </row>
    <row r="744" spans="6:9">
      <c r="F744" s="520"/>
      <c r="G744" s="520"/>
      <c r="H744" s="520"/>
      <c r="I744" s="520"/>
    </row>
    <row r="745" spans="6:9">
      <c r="F745" s="520"/>
      <c r="G745" s="520"/>
      <c r="H745" s="520"/>
      <c r="I745" s="520"/>
    </row>
    <row r="746" spans="6:9">
      <c r="F746" s="520"/>
      <c r="G746" s="520"/>
      <c r="H746" s="520"/>
      <c r="I746" s="520"/>
    </row>
    <row r="747" spans="6:9">
      <c r="F747" s="520"/>
      <c r="G747" s="520"/>
      <c r="H747" s="520"/>
      <c r="I747" s="520"/>
    </row>
    <row r="748" spans="6:9">
      <c r="F748" s="520"/>
      <c r="G748" s="520"/>
      <c r="H748" s="520"/>
      <c r="I748" s="520"/>
    </row>
    <row r="749" spans="6:9">
      <c r="F749" s="520"/>
      <c r="G749" s="520"/>
      <c r="H749" s="520"/>
      <c r="I749" s="520"/>
    </row>
    <row r="750" spans="6:9">
      <c r="F750" s="520"/>
      <c r="G750" s="520"/>
      <c r="H750" s="520"/>
      <c r="I750" s="520"/>
    </row>
    <row r="751" spans="6:9">
      <c r="F751" s="520"/>
      <c r="G751" s="520"/>
      <c r="H751" s="520"/>
      <c r="I751" s="520"/>
    </row>
    <row r="752" spans="6:9">
      <c r="F752" s="520"/>
      <c r="G752" s="520"/>
      <c r="H752" s="520"/>
      <c r="I752" s="520"/>
    </row>
    <row r="753" spans="6:9">
      <c r="F753" s="520"/>
      <c r="G753" s="520"/>
      <c r="H753" s="520"/>
      <c r="I753" s="520"/>
    </row>
    <row r="754" spans="6:9">
      <c r="F754" s="520"/>
      <c r="G754" s="520"/>
      <c r="H754" s="520"/>
      <c r="I754" s="520"/>
    </row>
    <row r="755" spans="6:9">
      <c r="F755" s="520"/>
      <c r="G755" s="520"/>
      <c r="H755" s="520"/>
      <c r="I755" s="520"/>
    </row>
    <row r="756" spans="6:9">
      <c r="F756" s="520"/>
      <c r="G756" s="520"/>
      <c r="H756" s="520"/>
      <c r="I756" s="520"/>
    </row>
    <row r="757" spans="6:9">
      <c r="F757" s="520"/>
      <c r="G757" s="520"/>
      <c r="H757" s="520"/>
      <c r="I757" s="520"/>
    </row>
    <row r="758" spans="6:9">
      <c r="F758" s="520"/>
      <c r="G758" s="520"/>
      <c r="H758" s="520"/>
      <c r="I758" s="520"/>
    </row>
    <row r="759" spans="6:9">
      <c r="F759" s="520"/>
      <c r="G759" s="520"/>
      <c r="H759" s="520"/>
      <c r="I759" s="520"/>
    </row>
    <row r="760" spans="6:9">
      <c r="F760" s="520"/>
      <c r="G760" s="520"/>
      <c r="H760" s="520"/>
      <c r="I760" s="520"/>
    </row>
    <row r="761" spans="6:9">
      <c r="F761" s="520"/>
      <c r="G761" s="520"/>
      <c r="H761" s="520"/>
      <c r="I761" s="520"/>
    </row>
    <row r="762" spans="6:9">
      <c r="F762" s="520"/>
      <c r="G762" s="520"/>
      <c r="H762" s="520"/>
      <c r="I762" s="520"/>
    </row>
    <row r="763" spans="6:9">
      <c r="F763" s="520"/>
      <c r="G763" s="520"/>
      <c r="H763" s="520"/>
      <c r="I763" s="520"/>
    </row>
    <row r="764" spans="6:9">
      <c r="F764" s="520"/>
      <c r="G764" s="520"/>
      <c r="H764" s="520"/>
      <c r="I764" s="520"/>
    </row>
    <row r="765" spans="6:9">
      <c r="F765" s="520"/>
      <c r="G765" s="520"/>
      <c r="H765" s="520"/>
      <c r="I765" s="520"/>
    </row>
    <row r="766" spans="6:9">
      <c r="F766" s="520"/>
      <c r="G766" s="520"/>
      <c r="H766" s="520"/>
      <c r="I766" s="520"/>
    </row>
    <row r="767" spans="6:9">
      <c r="F767" s="520"/>
      <c r="G767" s="520"/>
      <c r="H767" s="520"/>
      <c r="I767" s="520"/>
    </row>
    <row r="768" spans="6:9">
      <c r="F768" s="520"/>
      <c r="G768" s="520"/>
      <c r="H768" s="520"/>
      <c r="I768" s="520"/>
    </row>
    <row r="769" spans="6:9">
      <c r="F769" s="520"/>
      <c r="G769" s="520"/>
      <c r="H769" s="520"/>
      <c r="I769" s="520"/>
    </row>
    <row r="770" spans="6:9">
      <c r="F770" s="520"/>
      <c r="G770" s="520"/>
      <c r="H770" s="520"/>
      <c r="I770" s="520"/>
    </row>
    <row r="771" spans="6:9">
      <c r="F771" s="520"/>
      <c r="G771" s="520"/>
      <c r="H771" s="520"/>
      <c r="I771" s="520"/>
    </row>
    <row r="772" spans="6:9">
      <c r="F772" s="520"/>
      <c r="G772" s="520"/>
      <c r="H772" s="520"/>
      <c r="I772" s="520"/>
    </row>
    <row r="773" spans="6:9">
      <c r="F773" s="520"/>
      <c r="G773" s="520"/>
      <c r="H773" s="520"/>
      <c r="I773" s="520"/>
    </row>
    <row r="774" spans="6:9">
      <c r="F774" s="520"/>
      <c r="G774" s="520"/>
      <c r="H774" s="520"/>
      <c r="I774" s="520"/>
    </row>
    <row r="775" spans="6:9">
      <c r="F775" s="520"/>
      <c r="G775" s="520"/>
      <c r="H775" s="520"/>
      <c r="I775" s="520"/>
    </row>
    <row r="776" spans="6:9">
      <c r="F776" s="520"/>
      <c r="G776" s="520"/>
      <c r="H776" s="520"/>
      <c r="I776" s="520"/>
    </row>
    <row r="777" spans="6:9">
      <c r="F777" s="520"/>
      <c r="G777" s="520"/>
      <c r="H777" s="520"/>
      <c r="I777" s="520"/>
    </row>
    <row r="778" spans="6:9">
      <c r="F778" s="520"/>
      <c r="G778" s="520"/>
      <c r="H778" s="520"/>
      <c r="I778" s="520"/>
    </row>
    <row r="779" spans="6:9">
      <c r="F779" s="520"/>
      <c r="G779" s="520"/>
      <c r="H779" s="520"/>
      <c r="I779" s="520"/>
    </row>
    <row r="780" spans="6:9">
      <c r="F780" s="520"/>
      <c r="G780" s="520"/>
      <c r="H780" s="520"/>
      <c r="I780" s="520"/>
    </row>
    <row r="781" spans="6:9">
      <c r="F781" s="520"/>
      <c r="G781" s="520"/>
      <c r="H781" s="520"/>
      <c r="I781" s="520"/>
    </row>
    <row r="782" spans="6:9">
      <c r="F782" s="520"/>
      <c r="G782" s="520"/>
      <c r="H782" s="520"/>
      <c r="I782" s="520"/>
    </row>
    <row r="783" spans="6:9">
      <c r="F783" s="520"/>
      <c r="G783" s="520"/>
      <c r="H783" s="520"/>
      <c r="I783" s="520"/>
    </row>
    <row r="784" spans="6:9">
      <c r="F784" s="520"/>
      <c r="G784" s="520"/>
      <c r="H784" s="520"/>
      <c r="I784" s="520"/>
    </row>
    <row r="785" spans="6:9">
      <c r="F785" s="520"/>
      <c r="G785" s="520"/>
      <c r="H785" s="520"/>
      <c r="I785" s="520"/>
    </row>
    <row r="786" spans="6:9">
      <c r="F786" s="520"/>
      <c r="G786" s="520"/>
      <c r="H786" s="520"/>
      <c r="I786" s="520"/>
    </row>
    <row r="787" spans="6:9">
      <c r="F787" s="520"/>
      <c r="G787" s="520"/>
      <c r="H787" s="520"/>
      <c r="I787" s="520"/>
    </row>
    <row r="788" spans="6:9">
      <c r="F788" s="520"/>
      <c r="G788" s="520"/>
      <c r="H788" s="520"/>
      <c r="I788" s="520"/>
    </row>
    <row r="789" spans="6:9">
      <c r="F789" s="520"/>
      <c r="G789" s="520"/>
      <c r="H789" s="520"/>
      <c r="I789" s="520"/>
    </row>
    <row r="790" spans="6:9">
      <c r="F790" s="520"/>
      <c r="G790" s="520"/>
      <c r="H790" s="520"/>
      <c r="I790" s="520"/>
    </row>
    <row r="791" spans="6:9">
      <c r="F791" s="520"/>
      <c r="G791" s="520"/>
      <c r="H791" s="520"/>
      <c r="I791" s="520"/>
    </row>
    <row r="792" spans="6:9">
      <c r="F792" s="520"/>
      <c r="G792" s="520"/>
      <c r="H792" s="520"/>
      <c r="I792" s="520"/>
    </row>
    <row r="793" spans="6:9">
      <c r="F793" s="520"/>
      <c r="G793" s="520"/>
      <c r="H793" s="520"/>
      <c r="I793" s="520"/>
    </row>
    <row r="794" spans="6:9">
      <c r="F794" s="520"/>
      <c r="G794" s="520"/>
      <c r="H794" s="520"/>
      <c r="I794" s="520"/>
    </row>
    <row r="795" spans="6:9">
      <c r="F795" s="520"/>
      <c r="G795" s="520"/>
      <c r="H795" s="520"/>
      <c r="I795" s="520"/>
    </row>
    <row r="796" spans="6:9">
      <c r="F796" s="520"/>
      <c r="G796" s="520"/>
      <c r="H796" s="520"/>
      <c r="I796" s="520"/>
    </row>
    <row r="797" spans="6:9">
      <c r="F797" s="520"/>
      <c r="G797" s="520"/>
      <c r="H797" s="520"/>
      <c r="I797" s="520"/>
    </row>
    <row r="798" spans="6:9">
      <c r="F798" s="520"/>
      <c r="G798" s="520"/>
      <c r="H798" s="520"/>
      <c r="I798" s="520"/>
    </row>
    <row r="799" spans="6:9">
      <c r="F799" s="520"/>
      <c r="G799" s="520"/>
      <c r="H799" s="520"/>
      <c r="I799" s="520"/>
    </row>
    <row r="800" spans="6:9">
      <c r="F800" s="520"/>
      <c r="G800" s="520"/>
      <c r="H800" s="520"/>
      <c r="I800" s="520"/>
    </row>
    <row r="801" spans="6:9">
      <c r="F801" s="520"/>
      <c r="G801" s="520"/>
      <c r="H801" s="520"/>
      <c r="I801" s="520"/>
    </row>
    <row r="802" spans="6:9">
      <c r="F802" s="520"/>
      <c r="G802" s="520"/>
      <c r="H802" s="520"/>
      <c r="I802" s="520"/>
    </row>
    <row r="803" spans="6:9">
      <c r="F803" s="520"/>
      <c r="G803" s="520"/>
      <c r="H803" s="520"/>
      <c r="I803" s="520"/>
    </row>
    <row r="804" spans="6:9">
      <c r="F804" s="520"/>
      <c r="G804" s="520"/>
      <c r="H804" s="520"/>
      <c r="I804" s="520"/>
    </row>
    <row r="805" spans="6:9">
      <c r="F805" s="520"/>
      <c r="G805" s="520"/>
      <c r="H805" s="520"/>
      <c r="I805" s="520"/>
    </row>
    <row r="806" spans="6:9">
      <c r="F806" s="520"/>
      <c r="G806" s="520"/>
      <c r="H806" s="520"/>
      <c r="I806" s="520"/>
    </row>
    <row r="807" spans="6:9">
      <c r="F807" s="520"/>
      <c r="G807" s="520"/>
      <c r="H807" s="520"/>
      <c r="I807" s="520"/>
    </row>
    <row r="808" spans="6:9">
      <c r="F808" s="520"/>
      <c r="G808" s="520"/>
      <c r="H808" s="520"/>
      <c r="I808" s="520"/>
    </row>
    <row r="809" spans="6:9">
      <c r="F809" s="520"/>
      <c r="G809" s="520"/>
      <c r="H809" s="520"/>
      <c r="I809" s="520"/>
    </row>
    <row r="810" spans="6:9">
      <c r="F810" s="520"/>
      <c r="G810" s="520"/>
      <c r="H810" s="520"/>
      <c r="I810" s="520"/>
    </row>
    <row r="811" spans="6:9">
      <c r="F811" s="520"/>
      <c r="G811" s="520"/>
      <c r="H811" s="520"/>
      <c r="I811" s="520"/>
    </row>
    <row r="812" spans="6:9">
      <c r="F812" s="520"/>
      <c r="G812" s="520"/>
      <c r="H812" s="520"/>
      <c r="I812" s="520"/>
    </row>
    <row r="813" spans="6:9">
      <c r="F813" s="520"/>
      <c r="G813" s="520"/>
      <c r="H813" s="520"/>
      <c r="I813" s="520"/>
    </row>
    <row r="814" spans="6:9">
      <c r="F814" s="520"/>
      <c r="G814" s="520"/>
      <c r="H814" s="520"/>
      <c r="I814" s="520"/>
    </row>
    <row r="815" spans="6:9">
      <c r="F815" s="520"/>
      <c r="G815" s="520"/>
      <c r="H815" s="520"/>
      <c r="I815" s="520"/>
    </row>
    <row r="816" spans="6:9">
      <c r="F816" s="520"/>
      <c r="G816" s="520"/>
      <c r="H816" s="520"/>
      <c r="I816" s="520"/>
    </row>
    <row r="817" spans="6:9">
      <c r="F817" s="520"/>
      <c r="G817" s="520"/>
      <c r="H817" s="520"/>
      <c r="I817" s="520"/>
    </row>
    <row r="818" spans="6:9">
      <c r="F818" s="520"/>
      <c r="G818" s="520"/>
      <c r="H818" s="520"/>
      <c r="I818" s="520"/>
    </row>
    <row r="819" spans="6:9">
      <c r="F819" s="520"/>
      <c r="G819" s="520"/>
      <c r="H819" s="520"/>
      <c r="I819" s="520"/>
    </row>
    <row r="820" spans="6:9">
      <c r="F820" s="520"/>
      <c r="G820" s="520"/>
      <c r="H820" s="520"/>
      <c r="I820" s="520"/>
    </row>
    <row r="821" spans="6:9">
      <c r="F821" s="520"/>
      <c r="G821" s="520"/>
      <c r="H821" s="520"/>
      <c r="I821" s="520"/>
    </row>
    <row r="822" spans="6:9">
      <c r="F822" s="520"/>
      <c r="G822" s="520"/>
      <c r="H822" s="520"/>
      <c r="I822" s="520"/>
    </row>
    <row r="823" spans="6:9">
      <c r="F823" s="520"/>
      <c r="G823" s="520"/>
      <c r="H823" s="520"/>
      <c r="I823" s="520"/>
    </row>
    <row r="824" spans="6:9">
      <c r="F824" s="520"/>
      <c r="G824" s="520"/>
      <c r="H824" s="520"/>
      <c r="I824" s="520"/>
    </row>
    <row r="825" spans="6:9">
      <c r="F825" s="520"/>
      <c r="G825" s="520"/>
      <c r="H825" s="520"/>
      <c r="I825" s="520"/>
    </row>
    <row r="826" spans="6:9">
      <c r="F826" s="520"/>
      <c r="G826" s="520"/>
      <c r="H826" s="520"/>
      <c r="I826" s="520"/>
    </row>
    <row r="827" spans="6:9">
      <c r="F827" s="520"/>
      <c r="G827" s="520"/>
      <c r="H827" s="520"/>
      <c r="I827" s="520"/>
    </row>
    <row r="828" spans="6:9">
      <c r="F828" s="520"/>
      <c r="G828" s="520"/>
      <c r="H828" s="520"/>
      <c r="I828" s="520"/>
    </row>
    <row r="829" spans="6:9">
      <c r="F829" s="520"/>
      <c r="G829" s="520"/>
      <c r="H829" s="520"/>
      <c r="I829" s="520"/>
    </row>
    <row r="830" spans="6:9">
      <c r="F830" s="520"/>
      <c r="G830" s="520"/>
      <c r="H830" s="520"/>
      <c r="I830" s="520"/>
    </row>
    <row r="831" spans="6:9">
      <c r="F831" s="520"/>
      <c r="G831" s="520"/>
      <c r="H831" s="520"/>
      <c r="I831" s="520"/>
    </row>
    <row r="832" spans="6:9">
      <c r="F832" s="520"/>
      <c r="G832" s="520"/>
      <c r="H832" s="520"/>
      <c r="I832" s="520"/>
    </row>
    <row r="833" spans="6:9">
      <c r="F833" s="520"/>
      <c r="G833" s="520"/>
      <c r="H833" s="520"/>
      <c r="I833" s="520"/>
    </row>
    <row r="834" spans="6:9">
      <c r="F834" s="520"/>
      <c r="G834" s="520"/>
      <c r="H834" s="520"/>
      <c r="I834" s="520"/>
    </row>
    <row r="835" spans="6:9">
      <c r="F835" s="520"/>
      <c r="G835" s="520"/>
      <c r="H835" s="520"/>
      <c r="I835" s="520"/>
    </row>
    <row r="836" spans="6:9">
      <c r="F836" s="520"/>
      <c r="G836" s="520"/>
      <c r="H836" s="520"/>
      <c r="I836" s="520"/>
    </row>
    <row r="837" spans="6:9">
      <c r="F837" s="520"/>
      <c r="G837" s="520"/>
      <c r="H837" s="520"/>
      <c r="I837" s="520"/>
    </row>
    <row r="838" spans="6:9">
      <c r="F838" s="520"/>
      <c r="G838" s="520"/>
      <c r="H838" s="520"/>
      <c r="I838" s="520"/>
    </row>
    <row r="839" spans="6:9">
      <c r="F839" s="520"/>
      <c r="G839" s="520"/>
      <c r="H839" s="520"/>
      <c r="I839" s="520"/>
    </row>
    <row r="840" spans="6:9">
      <c r="F840" s="520"/>
      <c r="G840" s="520"/>
      <c r="H840" s="520"/>
      <c r="I840" s="520"/>
    </row>
    <row r="841" spans="6:9">
      <c r="F841" s="520"/>
      <c r="G841" s="520"/>
      <c r="H841" s="520"/>
      <c r="I841" s="520"/>
    </row>
    <row r="842" spans="6:9">
      <c r="F842" s="520"/>
      <c r="G842" s="520"/>
      <c r="H842" s="520"/>
      <c r="I842" s="520"/>
    </row>
    <row r="843" spans="6:9">
      <c r="F843" s="520"/>
      <c r="G843" s="520"/>
      <c r="H843" s="520"/>
      <c r="I843" s="520"/>
    </row>
    <row r="844" spans="6:9">
      <c r="F844" s="520"/>
      <c r="G844" s="520"/>
      <c r="H844" s="520"/>
      <c r="I844" s="520"/>
    </row>
    <row r="845" spans="6:9">
      <c r="F845" s="520"/>
      <c r="G845" s="520"/>
      <c r="H845" s="520"/>
      <c r="I845" s="520"/>
    </row>
    <row r="846" spans="6:9">
      <c r="F846" s="520"/>
      <c r="G846" s="520"/>
      <c r="H846" s="520"/>
      <c r="I846" s="520"/>
    </row>
    <row r="847" spans="6:9">
      <c r="F847" s="520"/>
      <c r="G847" s="520"/>
      <c r="H847" s="520"/>
      <c r="I847" s="520"/>
    </row>
    <row r="848" spans="6:9">
      <c r="F848" s="520"/>
      <c r="G848" s="520"/>
      <c r="H848" s="520"/>
      <c r="I848" s="520"/>
    </row>
    <row r="849" spans="6:9">
      <c r="F849" s="520"/>
      <c r="G849" s="520"/>
      <c r="H849" s="520"/>
      <c r="I849" s="520"/>
    </row>
    <row r="850" spans="6:9">
      <c r="F850" s="520"/>
      <c r="G850" s="520"/>
      <c r="H850" s="520"/>
      <c r="I850" s="520"/>
    </row>
    <row r="851" spans="6:9">
      <c r="F851" s="520"/>
      <c r="G851" s="520"/>
      <c r="H851" s="520"/>
      <c r="I851" s="520"/>
    </row>
    <row r="852" spans="6:9">
      <c r="F852" s="520"/>
      <c r="G852" s="520"/>
      <c r="H852" s="520"/>
      <c r="I852" s="520"/>
    </row>
    <row r="853" spans="6:9">
      <c r="F853" s="520"/>
      <c r="G853" s="520"/>
      <c r="H853" s="520"/>
      <c r="I853" s="520"/>
    </row>
    <row r="854" spans="6:9">
      <c r="F854" s="520"/>
      <c r="G854" s="520"/>
      <c r="H854" s="520"/>
      <c r="I854" s="520"/>
    </row>
    <row r="855" spans="6:9">
      <c r="F855" s="520"/>
      <c r="G855" s="520"/>
      <c r="H855" s="520"/>
      <c r="I855" s="520"/>
    </row>
    <row r="856" spans="6:9">
      <c r="F856" s="520"/>
      <c r="G856" s="520"/>
      <c r="H856" s="520"/>
      <c r="I856" s="520"/>
    </row>
    <row r="857" spans="6:9">
      <c r="F857" s="520"/>
      <c r="G857" s="520"/>
      <c r="H857" s="520"/>
      <c r="I857" s="520"/>
    </row>
    <row r="858" spans="6:9">
      <c r="F858" s="520"/>
      <c r="G858" s="520"/>
      <c r="H858" s="520"/>
      <c r="I858" s="520"/>
    </row>
    <row r="859" spans="6:9">
      <c r="F859" s="520"/>
      <c r="G859" s="520"/>
      <c r="H859" s="520"/>
      <c r="I859" s="520"/>
    </row>
    <row r="860" spans="6:9">
      <c r="F860" s="520"/>
      <c r="G860" s="520"/>
      <c r="H860" s="520"/>
      <c r="I860" s="520"/>
    </row>
    <row r="861" spans="6:9">
      <c r="F861" s="520"/>
      <c r="G861" s="520"/>
      <c r="H861" s="520"/>
      <c r="I861" s="520"/>
    </row>
    <row r="862" spans="6:9">
      <c r="F862" s="520"/>
      <c r="G862" s="520"/>
      <c r="H862" s="520"/>
      <c r="I862" s="520"/>
    </row>
    <row r="863" spans="6:9">
      <c r="F863" s="520"/>
      <c r="G863" s="520"/>
      <c r="H863" s="520"/>
      <c r="I863" s="520"/>
    </row>
    <row r="864" spans="6:9">
      <c r="F864" s="520"/>
      <c r="G864" s="520"/>
      <c r="H864" s="520"/>
      <c r="I864" s="520"/>
    </row>
    <row r="865" spans="6:9">
      <c r="F865" s="520"/>
      <c r="G865" s="520"/>
      <c r="H865" s="520"/>
      <c r="I865" s="520"/>
    </row>
    <row r="866" spans="6:9">
      <c r="F866" s="520"/>
      <c r="G866" s="520"/>
      <c r="H866" s="520"/>
      <c r="I866" s="520"/>
    </row>
    <row r="867" spans="6:9">
      <c r="F867" s="520"/>
      <c r="G867" s="520"/>
      <c r="H867" s="520"/>
      <c r="I867" s="520"/>
    </row>
    <row r="868" spans="6:9">
      <c r="F868" s="520"/>
      <c r="G868" s="520"/>
      <c r="H868" s="520"/>
      <c r="I868" s="520"/>
    </row>
    <row r="869" spans="6:9">
      <c r="F869" s="520"/>
      <c r="G869" s="520"/>
      <c r="H869" s="520"/>
      <c r="I869" s="520"/>
    </row>
    <row r="870" spans="6:9">
      <c r="F870" s="520"/>
      <c r="G870" s="520"/>
      <c r="H870" s="520"/>
      <c r="I870" s="520"/>
    </row>
    <row r="871" spans="6:9">
      <c r="F871" s="520"/>
      <c r="G871" s="520"/>
      <c r="H871" s="520"/>
      <c r="I871" s="520"/>
    </row>
    <row r="872" spans="6:9">
      <c r="F872" s="520"/>
      <c r="G872" s="520"/>
      <c r="H872" s="520"/>
      <c r="I872" s="520"/>
    </row>
    <row r="873" spans="6:9">
      <c r="F873" s="520"/>
      <c r="G873" s="520"/>
      <c r="H873" s="520"/>
      <c r="I873" s="520"/>
    </row>
    <row r="874" spans="6:9">
      <c r="F874" s="520"/>
      <c r="G874" s="520"/>
      <c r="H874" s="520"/>
      <c r="I874" s="520"/>
    </row>
    <row r="875" spans="6:9">
      <c r="F875" s="520"/>
      <c r="G875" s="520"/>
      <c r="H875" s="520"/>
      <c r="I875" s="520"/>
    </row>
    <row r="876" spans="6:9">
      <c r="F876" s="520"/>
      <c r="G876" s="520"/>
      <c r="H876" s="520"/>
      <c r="I876" s="520"/>
    </row>
    <row r="877" spans="6:9">
      <c r="F877" s="520"/>
      <c r="G877" s="520"/>
      <c r="H877" s="520"/>
      <c r="I877" s="520"/>
    </row>
    <row r="878" spans="6:9">
      <c r="F878" s="520"/>
      <c r="G878" s="520"/>
      <c r="H878" s="520"/>
      <c r="I878" s="520"/>
    </row>
    <row r="879" spans="6:9">
      <c r="F879" s="520"/>
      <c r="G879" s="520"/>
      <c r="H879" s="520"/>
      <c r="I879" s="520"/>
    </row>
    <row r="880" spans="6:9">
      <c r="F880" s="520"/>
      <c r="G880" s="520"/>
      <c r="H880" s="520"/>
      <c r="I880" s="520"/>
    </row>
    <row r="881" spans="6:9">
      <c r="F881" s="520"/>
      <c r="G881" s="520"/>
      <c r="H881" s="520"/>
      <c r="I881" s="520"/>
    </row>
    <row r="882" spans="6:9">
      <c r="F882" s="520"/>
      <c r="G882" s="520"/>
      <c r="H882" s="520"/>
      <c r="I882" s="520"/>
    </row>
    <row r="883" spans="6:9">
      <c r="F883" s="520"/>
      <c r="G883" s="520"/>
      <c r="H883" s="520"/>
      <c r="I883" s="520"/>
    </row>
    <row r="884" spans="6:9">
      <c r="F884" s="520"/>
      <c r="G884" s="520"/>
      <c r="H884" s="520"/>
      <c r="I884" s="520"/>
    </row>
    <row r="885" spans="6:9">
      <c r="F885" s="520"/>
      <c r="G885" s="520"/>
      <c r="H885" s="520"/>
      <c r="I885" s="520"/>
    </row>
    <row r="886" spans="6:9">
      <c r="F886" s="520"/>
      <c r="G886" s="520"/>
      <c r="H886" s="520"/>
      <c r="I886" s="520"/>
    </row>
    <row r="887" spans="6:9">
      <c r="F887" s="520"/>
      <c r="G887" s="520"/>
      <c r="H887" s="520"/>
      <c r="I887" s="520"/>
    </row>
    <row r="888" spans="6:9">
      <c r="F888" s="520"/>
      <c r="G888" s="520"/>
      <c r="H888" s="520"/>
      <c r="I888" s="520"/>
    </row>
    <row r="889" spans="6:9">
      <c r="F889" s="520"/>
      <c r="G889" s="520"/>
      <c r="H889" s="520"/>
      <c r="I889" s="520"/>
    </row>
    <row r="890" spans="6:9">
      <c r="F890" s="520"/>
      <c r="G890" s="520"/>
      <c r="H890" s="520"/>
      <c r="I890" s="520"/>
    </row>
    <row r="891" spans="6:9">
      <c r="F891" s="520"/>
      <c r="G891" s="520"/>
      <c r="H891" s="520"/>
      <c r="I891" s="520"/>
    </row>
    <row r="892" spans="6:9">
      <c r="F892" s="520"/>
      <c r="G892" s="520"/>
      <c r="H892" s="520"/>
      <c r="I892" s="520"/>
    </row>
    <row r="893" spans="6:9">
      <c r="F893" s="520"/>
      <c r="G893" s="520"/>
      <c r="H893" s="520"/>
      <c r="I893" s="520"/>
    </row>
    <row r="894" spans="6:9">
      <c r="F894" s="520"/>
      <c r="G894" s="520"/>
      <c r="H894" s="520"/>
      <c r="I894" s="520"/>
    </row>
    <row r="895" spans="6:9">
      <c r="F895" s="520"/>
      <c r="G895" s="520"/>
      <c r="H895" s="520"/>
      <c r="I895" s="520"/>
    </row>
    <row r="896" spans="6:9">
      <c r="F896" s="520"/>
      <c r="G896" s="520"/>
      <c r="H896" s="520"/>
      <c r="I896" s="520"/>
    </row>
    <row r="897" spans="6:9">
      <c r="F897" s="520"/>
      <c r="G897" s="520"/>
      <c r="H897" s="520"/>
      <c r="I897" s="520"/>
    </row>
    <row r="898" spans="6:9">
      <c r="F898" s="520"/>
      <c r="G898" s="520"/>
      <c r="H898" s="520"/>
      <c r="I898" s="520"/>
    </row>
    <row r="899" spans="6:9">
      <c r="F899" s="520"/>
      <c r="G899" s="520"/>
      <c r="H899" s="520"/>
      <c r="I899" s="520"/>
    </row>
    <row r="900" spans="6:9">
      <c r="F900" s="520"/>
      <c r="G900" s="520"/>
      <c r="H900" s="520"/>
      <c r="I900" s="520"/>
    </row>
    <row r="901" spans="6:9">
      <c r="F901" s="520"/>
      <c r="G901" s="520"/>
      <c r="H901" s="520"/>
      <c r="I901" s="520"/>
    </row>
    <row r="902" spans="6:9">
      <c r="F902" s="520"/>
      <c r="G902" s="520"/>
      <c r="H902" s="520"/>
      <c r="I902" s="520"/>
    </row>
    <row r="903" spans="6:9">
      <c r="F903" s="520"/>
      <c r="G903" s="520"/>
      <c r="H903" s="520"/>
      <c r="I903" s="520"/>
    </row>
    <row r="904" spans="6:9">
      <c r="F904" s="520"/>
      <c r="G904" s="520"/>
      <c r="H904" s="520"/>
      <c r="I904" s="520"/>
    </row>
    <row r="905" spans="6:9">
      <c r="F905" s="520"/>
      <c r="G905" s="520"/>
      <c r="H905" s="520"/>
      <c r="I905" s="520"/>
    </row>
    <row r="906" spans="6:9">
      <c r="F906" s="520"/>
      <c r="G906" s="520"/>
      <c r="H906" s="520"/>
      <c r="I906" s="520"/>
    </row>
    <row r="907" spans="6:9">
      <c r="F907" s="520"/>
      <c r="G907" s="520"/>
      <c r="H907" s="520"/>
      <c r="I907" s="520"/>
    </row>
    <row r="908" spans="6:9">
      <c r="F908" s="520"/>
      <c r="G908" s="520"/>
      <c r="H908" s="520"/>
      <c r="I908" s="520"/>
    </row>
    <row r="909" spans="6:9">
      <c r="F909" s="520"/>
      <c r="G909" s="520"/>
      <c r="H909" s="520"/>
      <c r="I909" s="520"/>
    </row>
    <row r="910" spans="6:9">
      <c r="F910" s="520"/>
      <c r="G910" s="520"/>
      <c r="H910" s="520"/>
      <c r="I910" s="520"/>
    </row>
    <row r="911" spans="6:9">
      <c r="F911" s="520"/>
      <c r="G911" s="520"/>
      <c r="H911" s="520"/>
      <c r="I911" s="520"/>
    </row>
    <row r="912" spans="6:9">
      <c r="F912" s="520"/>
      <c r="G912" s="520"/>
      <c r="H912" s="520"/>
      <c r="I912" s="520"/>
    </row>
    <row r="913" spans="6:9">
      <c r="F913" s="520"/>
      <c r="G913" s="520"/>
      <c r="H913" s="520"/>
      <c r="I913" s="520"/>
    </row>
    <row r="914" spans="6:9">
      <c r="F914" s="520"/>
      <c r="G914" s="520"/>
      <c r="H914" s="520"/>
      <c r="I914" s="520"/>
    </row>
    <row r="915" spans="6:9">
      <c r="F915" s="520"/>
      <c r="G915" s="520"/>
      <c r="H915" s="520"/>
      <c r="I915" s="520"/>
    </row>
    <row r="916" spans="6:9">
      <c r="F916" s="520"/>
      <c r="G916" s="520"/>
      <c r="H916" s="520"/>
      <c r="I916" s="520"/>
    </row>
    <row r="917" spans="6:9">
      <c r="F917" s="520"/>
      <c r="G917" s="520"/>
      <c r="H917" s="520"/>
      <c r="I917" s="520"/>
    </row>
    <row r="918" spans="6:9">
      <c r="F918" s="520"/>
      <c r="G918" s="520"/>
      <c r="H918" s="520"/>
      <c r="I918" s="520"/>
    </row>
    <row r="919" spans="6:9">
      <c r="F919" s="520"/>
      <c r="G919" s="520"/>
      <c r="H919" s="520"/>
      <c r="I919" s="520"/>
    </row>
    <row r="920" spans="6:9">
      <c r="F920" s="520"/>
      <c r="G920" s="520"/>
      <c r="H920" s="520"/>
      <c r="I920" s="520"/>
    </row>
    <row r="921" spans="6:9">
      <c r="F921" s="520"/>
      <c r="G921" s="520"/>
      <c r="H921" s="520"/>
      <c r="I921" s="520"/>
    </row>
    <row r="922" spans="6:9">
      <c r="F922" s="520"/>
      <c r="G922" s="520"/>
      <c r="H922" s="520"/>
      <c r="I922" s="520"/>
    </row>
    <row r="923" spans="6:9">
      <c r="F923" s="520"/>
      <c r="G923" s="520"/>
      <c r="H923" s="520"/>
      <c r="I923" s="520"/>
    </row>
    <row r="924" spans="6:9">
      <c r="F924" s="520"/>
      <c r="G924" s="520"/>
      <c r="H924" s="520"/>
      <c r="I924" s="520"/>
    </row>
    <row r="925" spans="6:9">
      <c r="F925" s="520"/>
      <c r="G925" s="520"/>
      <c r="H925" s="520"/>
      <c r="I925" s="520"/>
    </row>
    <row r="926" spans="6:9">
      <c r="F926" s="520"/>
      <c r="G926" s="520"/>
      <c r="H926" s="520"/>
      <c r="I926" s="520"/>
    </row>
    <row r="927" spans="6:9">
      <c r="F927" s="520"/>
      <c r="G927" s="520"/>
      <c r="H927" s="520"/>
      <c r="I927" s="520"/>
    </row>
    <row r="928" spans="6:9">
      <c r="F928" s="520"/>
      <c r="G928" s="520"/>
      <c r="H928" s="520"/>
      <c r="I928" s="520"/>
    </row>
    <row r="929" spans="6:9">
      <c r="F929" s="520"/>
      <c r="G929" s="520"/>
      <c r="H929" s="520"/>
      <c r="I929" s="520"/>
    </row>
    <row r="930" spans="6:9">
      <c r="F930" s="520"/>
      <c r="G930" s="520"/>
      <c r="H930" s="520"/>
      <c r="I930" s="520"/>
    </row>
    <row r="931" spans="6:9">
      <c r="F931" s="520"/>
      <c r="G931" s="520"/>
      <c r="H931" s="520"/>
      <c r="I931" s="520"/>
    </row>
    <row r="932" spans="6:9">
      <c r="F932" s="520"/>
      <c r="G932" s="520"/>
      <c r="H932" s="520"/>
      <c r="I932" s="520"/>
    </row>
    <row r="933" spans="6:9">
      <c r="F933" s="520"/>
      <c r="G933" s="520"/>
      <c r="H933" s="520"/>
      <c r="I933" s="520"/>
    </row>
    <row r="934" spans="6:9">
      <c r="F934" s="520"/>
      <c r="G934" s="520"/>
      <c r="H934" s="520"/>
      <c r="I934" s="520"/>
    </row>
    <row r="935" spans="6:9">
      <c r="F935" s="520"/>
      <c r="G935" s="520"/>
      <c r="H935" s="520"/>
      <c r="I935" s="520"/>
    </row>
    <row r="936" spans="6:9">
      <c r="F936" s="520"/>
      <c r="G936" s="520"/>
      <c r="H936" s="520"/>
      <c r="I936" s="520"/>
    </row>
    <row r="937" spans="6:9">
      <c r="F937" s="520"/>
      <c r="G937" s="520"/>
      <c r="H937" s="520"/>
      <c r="I937" s="520"/>
    </row>
    <row r="938" spans="6:9">
      <c r="F938" s="520"/>
      <c r="G938" s="520"/>
      <c r="H938" s="520"/>
      <c r="I938" s="520"/>
    </row>
    <row r="939" spans="6:9">
      <c r="F939" s="520"/>
      <c r="G939" s="520"/>
      <c r="H939" s="520"/>
      <c r="I939" s="520"/>
    </row>
    <row r="940" spans="6:9">
      <c r="F940" s="520"/>
      <c r="G940" s="520"/>
      <c r="H940" s="520"/>
      <c r="I940" s="520"/>
    </row>
    <row r="941" spans="6:9">
      <c r="F941" s="520"/>
      <c r="G941" s="520"/>
      <c r="H941" s="520"/>
      <c r="I941" s="520"/>
    </row>
    <row r="942" spans="6:9">
      <c r="F942" s="520"/>
      <c r="G942" s="520"/>
      <c r="H942" s="520"/>
      <c r="I942" s="520"/>
    </row>
    <row r="943" spans="6:9">
      <c r="F943" s="520"/>
      <c r="G943" s="520"/>
      <c r="H943" s="520"/>
      <c r="I943" s="520"/>
    </row>
    <row r="944" spans="6:9">
      <c r="F944" s="520"/>
      <c r="G944" s="520"/>
      <c r="H944" s="520"/>
      <c r="I944" s="520"/>
    </row>
    <row r="945" spans="6:9">
      <c r="F945" s="520"/>
      <c r="G945" s="520"/>
      <c r="H945" s="520"/>
      <c r="I945" s="520"/>
    </row>
    <row r="946" spans="6:9">
      <c r="F946" s="520"/>
      <c r="G946" s="520"/>
      <c r="H946" s="520"/>
      <c r="I946" s="520"/>
    </row>
    <row r="947" spans="6:9">
      <c r="F947" s="520"/>
      <c r="G947" s="520"/>
      <c r="H947" s="520"/>
      <c r="I947" s="520"/>
    </row>
    <row r="948" spans="6:9">
      <c r="F948" s="520"/>
      <c r="G948" s="520"/>
      <c r="H948" s="520"/>
      <c r="I948" s="520"/>
    </row>
    <row r="949" spans="6:9">
      <c r="F949" s="520"/>
      <c r="G949" s="520"/>
      <c r="H949" s="520"/>
      <c r="I949" s="520"/>
    </row>
    <row r="950" spans="6:9">
      <c r="F950" s="520"/>
      <c r="G950" s="520"/>
      <c r="H950" s="520"/>
      <c r="I950" s="520"/>
    </row>
    <row r="951" spans="6:9">
      <c r="F951" s="520"/>
      <c r="G951" s="520"/>
      <c r="H951" s="520"/>
      <c r="I951" s="520"/>
    </row>
    <row r="952" spans="6:9">
      <c r="F952" s="520"/>
      <c r="G952" s="520"/>
      <c r="H952" s="520"/>
      <c r="I952" s="520"/>
    </row>
    <row r="953" spans="6:9">
      <c r="F953" s="520"/>
      <c r="G953" s="520"/>
      <c r="H953" s="520"/>
      <c r="I953" s="520"/>
    </row>
    <row r="954" spans="6:9">
      <c r="F954" s="520"/>
      <c r="G954" s="520"/>
      <c r="H954" s="520"/>
      <c r="I954" s="520"/>
    </row>
    <row r="955" spans="6:9">
      <c r="F955" s="520"/>
      <c r="G955" s="520"/>
      <c r="H955" s="520"/>
      <c r="I955" s="520"/>
    </row>
    <row r="956" spans="6:9">
      <c r="F956" s="520"/>
      <c r="G956" s="520"/>
      <c r="H956" s="520"/>
      <c r="I956" s="520"/>
    </row>
    <row r="957" spans="6:9">
      <c r="F957" s="520"/>
      <c r="G957" s="520"/>
      <c r="H957" s="520"/>
      <c r="I957" s="520"/>
    </row>
    <row r="958" spans="6:9">
      <c r="F958" s="520"/>
      <c r="G958" s="520"/>
      <c r="H958" s="520"/>
      <c r="I958" s="520"/>
    </row>
    <row r="959" spans="6:9">
      <c r="F959" s="520"/>
      <c r="G959" s="520"/>
      <c r="H959" s="520"/>
      <c r="I959" s="520"/>
    </row>
    <row r="960" spans="6:9">
      <c r="F960" s="520"/>
      <c r="G960" s="520"/>
      <c r="H960" s="520"/>
      <c r="I960" s="520"/>
    </row>
    <row r="961" spans="6:9">
      <c r="F961" s="520"/>
      <c r="G961" s="520"/>
      <c r="H961" s="520"/>
      <c r="I961" s="520"/>
    </row>
    <row r="962" spans="6:9">
      <c r="F962" s="520"/>
      <c r="G962" s="520"/>
      <c r="H962" s="520"/>
      <c r="I962" s="520"/>
    </row>
    <row r="963" spans="6:9">
      <c r="F963" s="520"/>
      <c r="G963" s="520"/>
      <c r="H963" s="520"/>
      <c r="I963" s="520"/>
    </row>
    <row r="964" spans="6:9">
      <c r="F964" s="520"/>
      <c r="G964" s="520"/>
      <c r="H964" s="520"/>
      <c r="I964" s="520"/>
    </row>
    <row r="965" spans="6:9">
      <c r="F965" s="520"/>
      <c r="G965" s="520"/>
      <c r="H965" s="520"/>
      <c r="I965" s="520"/>
    </row>
    <row r="966" spans="6:9">
      <c r="F966" s="520"/>
      <c r="G966" s="520"/>
      <c r="H966" s="520"/>
      <c r="I966" s="520"/>
    </row>
    <row r="967" spans="6:9">
      <c r="F967" s="520"/>
      <c r="G967" s="520"/>
      <c r="H967" s="520"/>
      <c r="I967" s="520"/>
    </row>
    <row r="968" spans="6:9">
      <c r="F968" s="520"/>
      <c r="G968" s="520"/>
      <c r="H968" s="520"/>
      <c r="I968" s="520"/>
    </row>
    <row r="969" spans="6:9">
      <c r="F969" s="520"/>
      <c r="G969" s="520"/>
      <c r="H969" s="520"/>
      <c r="I969" s="520"/>
    </row>
    <row r="970" spans="6:9">
      <c r="F970" s="520"/>
      <c r="G970" s="520"/>
      <c r="H970" s="520"/>
      <c r="I970" s="520"/>
    </row>
    <row r="971" spans="6:9">
      <c r="F971" s="520"/>
      <c r="G971" s="520"/>
      <c r="H971" s="520"/>
      <c r="I971" s="520"/>
    </row>
    <row r="972" spans="6:9">
      <c r="F972" s="520"/>
      <c r="G972" s="520"/>
      <c r="H972" s="520"/>
      <c r="I972" s="520"/>
    </row>
    <row r="973" spans="6:9">
      <c r="F973" s="520"/>
      <c r="G973" s="520"/>
      <c r="H973" s="520"/>
      <c r="I973" s="520"/>
    </row>
    <row r="974" spans="6:9">
      <c r="F974" s="520"/>
      <c r="G974" s="520"/>
      <c r="H974" s="520"/>
      <c r="I974" s="520"/>
    </row>
    <row r="975" spans="6:9">
      <c r="F975" s="520"/>
      <c r="G975" s="520"/>
      <c r="H975" s="520"/>
      <c r="I975" s="520"/>
    </row>
    <row r="976" spans="6:9">
      <c r="F976" s="520"/>
      <c r="G976" s="520"/>
      <c r="H976" s="520"/>
      <c r="I976" s="520"/>
    </row>
    <row r="977" spans="6:9">
      <c r="F977" s="520"/>
      <c r="G977" s="520"/>
      <c r="H977" s="520"/>
      <c r="I977" s="520"/>
    </row>
    <row r="978" spans="6:9">
      <c r="F978" s="520"/>
      <c r="G978" s="520"/>
      <c r="H978" s="520"/>
      <c r="I978" s="520"/>
    </row>
    <row r="979" spans="6:9">
      <c r="F979" s="520"/>
      <c r="G979" s="520"/>
      <c r="H979" s="520"/>
      <c r="I979" s="520"/>
    </row>
    <row r="980" spans="6:9">
      <c r="F980" s="520"/>
      <c r="G980" s="520"/>
      <c r="H980" s="520"/>
      <c r="I980" s="520"/>
    </row>
    <row r="981" spans="6:9">
      <c r="F981" s="520"/>
      <c r="G981" s="520"/>
      <c r="H981" s="520"/>
      <c r="I981" s="520"/>
    </row>
    <row r="982" spans="6:9">
      <c r="F982" s="520"/>
      <c r="G982" s="520"/>
      <c r="H982" s="520"/>
      <c r="I982" s="520"/>
    </row>
    <row r="983" spans="6:9">
      <c r="F983" s="520"/>
      <c r="G983" s="520"/>
      <c r="H983" s="520"/>
      <c r="I983" s="520"/>
    </row>
    <row r="984" spans="6:9">
      <c r="F984" s="520"/>
      <c r="G984" s="520"/>
      <c r="H984" s="520"/>
      <c r="I984" s="520"/>
    </row>
    <row r="985" spans="6:9">
      <c r="F985" s="520"/>
      <c r="G985" s="520"/>
      <c r="H985" s="520"/>
      <c r="I985" s="520"/>
    </row>
    <row r="986" spans="6:9">
      <c r="F986" s="520"/>
      <c r="G986" s="520"/>
      <c r="H986" s="520"/>
      <c r="I986" s="520"/>
    </row>
    <row r="987" spans="6:9">
      <c r="F987" s="520"/>
      <c r="G987" s="520"/>
      <c r="H987" s="520"/>
      <c r="I987" s="520"/>
    </row>
    <row r="988" spans="6:9">
      <c r="F988" s="520"/>
      <c r="G988" s="520"/>
      <c r="H988" s="520"/>
      <c r="I988" s="520"/>
    </row>
    <row r="989" spans="6:9">
      <c r="F989" s="520"/>
      <c r="G989" s="520"/>
      <c r="H989" s="520"/>
      <c r="I989" s="520"/>
    </row>
    <row r="990" spans="6:9">
      <c r="F990" s="520"/>
      <c r="G990" s="520"/>
      <c r="H990" s="520"/>
      <c r="I990" s="520"/>
    </row>
    <row r="991" spans="6:9">
      <c r="F991" s="520"/>
      <c r="G991" s="520"/>
      <c r="H991" s="520"/>
      <c r="I991" s="520"/>
    </row>
    <row r="992" spans="6:9">
      <c r="F992" s="520"/>
      <c r="G992" s="520"/>
      <c r="H992" s="520"/>
      <c r="I992" s="520"/>
    </row>
    <row r="993" spans="6:9">
      <c r="F993" s="520"/>
      <c r="G993" s="520"/>
      <c r="H993" s="520"/>
      <c r="I993" s="520"/>
    </row>
    <row r="994" spans="6:9">
      <c r="F994" s="520"/>
      <c r="G994" s="520"/>
      <c r="H994" s="520"/>
      <c r="I994" s="520"/>
    </row>
    <row r="995" spans="6:9">
      <c r="F995" s="520"/>
      <c r="G995" s="520"/>
      <c r="H995" s="520"/>
      <c r="I995" s="520"/>
    </row>
    <row r="996" spans="6:9">
      <c r="F996" s="520"/>
      <c r="G996" s="520"/>
      <c r="H996" s="520"/>
      <c r="I996" s="520"/>
    </row>
    <row r="997" spans="6:9">
      <c r="F997" s="520"/>
      <c r="G997" s="520"/>
      <c r="H997" s="520"/>
      <c r="I997" s="520"/>
    </row>
    <row r="998" spans="6:9">
      <c r="F998" s="520"/>
      <c r="G998" s="520"/>
      <c r="H998" s="520"/>
      <c r="I998" s="520"/>
    </row>
    <row r="999" spans="6:9">
      <c r="F999" s="520"/>
      <c r="G999" s="520"/>
      <c r="H999" s="520"/>
      <c r="I999" s="520"/>
    </row>
    <row r="1000" spans="6:9">
      <c r="F1000" s="520"/>
      <c r="G1000" s="520"/>
      <c r="H1000" s="520"/>
      <c r="I1000" s="520"/>
    </row>
    <row r="1001" spans="6:9">
      <c r="F1001" s="520"/>
      <c r="G1001" s="520"/>
      <c r="H1001" s="520"/>
      <c r="I1001" s="520"/>
    </row>
    <row r="1002" spans="6:9">
      <c r="F1002" s="520"/>
      <c r="G1002" s="520"/>
      <c r="H1002" s="520"/>
      <c r="I1002" s="520"/>
    </row>
    <row r="1003" spans="6:9">
      <c r="F1003" s="520"/>
      <c r="G1003" s="520"/>
      <c r="H1003" s="520"/>
      <c r="I1003" s="520"/>
    </row>
    <row r="1004" spans="6:9">
      <c r="F1004" s="520"/>
      <c r="G1004" s="520"/>
      <c r="H1004" s="520"/>
      <c r="I1004" s="520"/>
    </row>
    <row r="1005" spans="6:9">
      <c r="F1005" s="520"/>
      <c r="G1005" s="520"/>
      <c r="H1005" s="520"/>
      <c r="I1005" s="520"/>
    </row>
    <row r="1006" spans="6:9">
      <c r="F1006" s="520"/>
      <c r="G1006" s="520"/>
      <c r="H1006" s="520"/>
      <c r="I1006" s="520"/>
    </row>
    <row r="1007" spans="6:9">
      <c r="F1007" s="520"/>
      <c r="G1007" s="520"/>
      <c r="H1007" s="520"/>
      <c r="I1007" s="520"/>
    </row>
    <row r="1008" spans="6:9">
      <c r="F1008" s="520"/>
      <c r="G1008" s="520"/>
      <c r="H1008" s="520"/>
      <c r="I1008" s="520"/>
    </row>
    <row r="1009" spans="6:9">
      <c r="F1009" s="520"/>
      <c r="G1009" s="520"/>
      <c r="H1009" s="520"/>
      <c r="I1009" s="520"/>
    </row>
    <row r="1010" spans="6:9">
      <c r="F1010" s="520"/>
      <c r="G1010" s="520"/>
      <c r="H1010" s="520"/>
      <c r="I1010" s="520"/>
    </row>
    <row r="1011" spans="6:9">
      <c r="F1011" s="520"/>
      <c r="G1011" s="520"/>
      <c r="H1011" s="520"/>
      <c r="I1011" s="520"/>
    </row>
    <row r="1012" spans="6:9">
      <c r="F1012" s="520"/>
      <c r="G1012" s="520"/>
      <c r="H1012" s="520"/>
      <c r="I1012" s="520"/>
    </row>
    <row r="1013" spans="6:9">
      <c r="F1013" s="520"/>
      <c r="G1013" s="520"/>
      <c r="H1013" s="520"/>
      <c r="I1013" s="520"/>
    </row>
    <row r="1014" spans="6:9">
      <c r="F1014" s="520"/>
      <c r="G1014" s="520"/>
      <c r="H1014" s="520"/>
      <c r="I1014" s="520"/>
    </row>
    <row r="1015" spans="6:9">
      <c r="F1015" s="520"/>
      <c r="G1015" s="520"/>
      <c r="H1015" s="520"/>
      <c r="I1015" s="520"/>
    </row>
    <row r="1016" spans="6:9">
      <c r="F1016" s="520"/>
      <c r="G1016" s="520"/>
      <c r="H1016" s="520"/>
      <c r="I1016" s="520"/>
    </row>
    <row r="1017" spans="6:9">
      <c r="F1017" s="520"/>
      <c r="G1017" s="520"/>
      <c r="H1017" s="520"/>
      <c r="I1017" s="520"/>
    </row>
    <row r="1018" spans="6:9">
      <c r="F1018" s="520"/>
      <c r="G1018" s="520"/>
      <c r="H1018" s="520"/>
      <c r="I1018" s="520"/>
    </row>
    <row r="1019" spans="6:9">
      <c r="F1019" s="520"/>
      <c r="G1019" s="520"/>
      <c r="H1019" s="520"/>
      <c r="I1019" s="520"/>
    </row>
    <row r="1020" spans="6:9">
      <c r="F1020" s="520"/>
      <c r="G1020" s="520"/>
      <c r="H1020" s="520"/>
      <c r="I1020" s="520"/>
    </row>
    <row r="1021" spans="6:9">
      <c r="F1021" s="520"/>
      <c r="G1021" s="520"/>
      <c r="H1021" s="520"/>
      <c r="I1021" s="520"/>
    </row>
    <row r="1022" spans="6:9">
      <c r="F1022" s="520"/>
      <c r="G1022" s="520"/>
      <c r="H1022" s="520"/>
      <c r="I1022" s="520"/>
    </row>
    <row r="1023" spans="6:9">
      <c r="F1023" s="520"/>
      <c r="G1023" s="520"/>
      <c r="H1023" s="520"/>
      <c r="I1023" s="520"/>
    </row>
    <row r="1024" spans="6:9">
      <c r="F1024" s="520"/>
      <c r="G1024" s="520"/>
      <c r="H1024" s="520"/>
      <c r="I1024" s="520"/>
    </row>
    <row r="1025" spans="6:9">
      <c r="F1025" s="520"/>
      <c r="G1025" s="520"/>
      <c r="H1025" s="520"/>
      <c r="I1025" s="520"/>
    </row>
    <row r="1026" spans="6:9">
      <c r="F1026" s="520"/>
      <c r="G1026" s="520"/>
      <c r="H1026" s="520"/>
      <c r="I1026" s="520"/>
    </row>
    <row r="1027" spans="6:9">
      <c r="F1027" s="520"/>
      <c r="G1027" s="520"/>
      <c r="H1027" s="520"/>
      <c r="I1027" s="520"/>
    </row>
    <row r="1028" spans="6:9">
      <c r="F1028" s="520"/>
      <c r="G1028" s="520"/>
      <c r="H1028" s="520"/>
      <c r="I1028" s="520"/>
    </row>
    <row r="1029" spans="6:9">
      <c r="F1029" s="520"/>
      <c r="G1029" s="520"/>
      <c r="H1029" s="520"/>
      <c r="I1029" s="520"/>
    </row>
    <row r="1030" spans="6:9">
      <c r="F1030" s="520"/>
      <c r="G1030" s="520"/>
      <c r="H1030" s="520"/>
      <c r="I1030" s="520"/>
    </row>
    <row r="1031" spans="6:9">
      <c r="F1031" s="520"/>
      <c r="G1031" s="520"/>
      <c r="H1031" s="520"/>
      <c r="I1031" s="520"/>
    </row>
    <row r="1032" spans="6:9">
      <c r="F1032" s="520"/>
      <c r="G1032" s="520"/>
      <c r="H1032" s="520"/>
      <c r="I1032" s="520"/>
    </row>
    <row r="1033" spans="6:9">
      <c r="F1033" s="520"/>
      <c r="G1033" s="520"/>
      <c r="H1033" s="520"/>
      <c r="I1033" s="520"/>
    </row>
    <row r="1034" spans="6:9">
      <c r="F1034" s="520"/>
      <c r="G1034" s="520"/>
      <c r="H1034" s="520"/>
      <c r="I1034" s="520"/>
    </row>
    <row r="1035" spans="6:9">
      <c r="F1035" s="520"/>
      <c r="G1035" s="520"/>
      <c r="H1035" s="520"/>
      <c r="I1035" s="520"/>
    </row>
    <row r="1036" spans="6:9">
      <c r="F1036" s="520"/>
      <c r="G1036" s="520"/>
      <c r="H1036" s="520"/>
      <c r="I1036" s="520"/>
    </row>
    <row r="1037" spans="6:9">
      <c r="F1037" s="520"/>
      <c r="G1037" s="520"/>
      <c r="H1037" s="520"/>
      <c r="I1037" s="520"/>
    </row>
    <row r="1038" spans="6:9">
      <c r="F1038" s="520"/>
      <c r="G1038" s="520"/>
      <c r="H1038" s="520"/>
      <c r="I1038" s="520"/>
    </row>
    <row r="1039" spans="6:9">
      <c r="F1039" s="520"/>
      <c r="G1039" s="520"/>
      <c r="H1039" s="520"/>
      <c r="I1039" s="520"/>
    </row>
    <row r="1040" spans="6:9">
      <c r="F1040" s="520"/>
      <c r="G1040" s="520"/>
      <c r="H1040" s="520"/>
      <c r="I1040" s="520"/>
    </row>
    <row r="1041" spans="6:9">
      <c r="F1041" s="520"/>
      <c r="G1041" s="520"/>
      <c r="H1041" s="520"/>
      <c r="I1041" s="520"/>
    </row>
    <row r="1042" spans="6:9">
      <c r="F1042" s="520"/>
      <c r="G1042" s="520"/>
      <c r="H1042" s="520"/>
      <c r="I1042" s="520"/>
    </row>
    <row r="1043" spans="6:9">
      <c r="F1043" s="520"/>
      <c r="G1043" s="520"/>
      <c r="H1043" s="520"/>
      <c r="I1043" s="520"/>
    </row>
    <row r="1044" spans="6:9">
      <c r="F1044" s="520"/>
      <c r="G1044" s="520"/>
      <c r="H1044" s="520"/>
      <c r="I1044" s="520"/>
    </row>
    <row r="1045" spans="6:9">
      <c r="F1045" s="520"/>
      <c r="G1045" s="520"/>
      <c r="H1045" s="520"/>
      <c r="I1045" s="520"/>
    </row>
    <row r="1046" spans="6:9">
      <c r="F1046" s="520"/>
      <c r="G1046" s="520"/>
      <c r="H1046" s="520"/>
      <c r="I1046" s="520"/>
    </row>
    <row r="1047" spans="6:9">
      <c r="F1047" s="520"/>
      <c r="G1047" s="520"/>
      <c r="H1047" s="520"/>
      <c r="I1047" s="520"/>
    </row>
    <row r="1048" spans="6:9">
      <c r="F1048" s="520"/>
      <c r="G1048" s="520"/>
      <c r="H1048" s="520"/>
      <c r="I1048" s="520"/>
    </row>
    <row r="1049" spans="6:9">
      <c r="F1049" s="520"/>
      <c r="G1049" s="520"/>
      <c r="H1049" s="520"/>
      <c r="I1049" s="520"/>
    </row>
    <row r="1050" spans="6:9">
      <c r="F1050" s="520"/>
      <c r="G1050" s="520"/>
      <c r="H1050" s="520"/>
      <c r="I1050" s="520"/>
    </row>
    <row r="1051" spans="6:9">
      <c r="F1051" s="520"/>
      <c r="G1051" s="520"/>
      <c r="H1051" s="520"/>
      <c r="I1051" s="520"/>
    </row>
    <row r="1052" spans="6:9">
      <c r="F1052" s="520"/>
      <c r="G1052" s="520"/>
      <c r="H1052" s="520"/>
      <c r="I1052" s="520"/>
    </row>
    <row r="1053" spans="6:9">
      <c r="F1053" s="520"/>
      <c r="G1053" s="520"/>
      <c r="H1053" s="520"/>
      <c r="I1053" s="520"/>
    </row>
    <row r="1054" spans="6:9">
      <c r="F1054" s="520"/>
      <c r="G1054" s="520"/>
      <c r="H1054" s="520"/>
      <c r="I1054" s="520"/>
    </row>
    <row r="1055" spans="6:9">
      <c r="F1055" s="520"/>
      <c r="G1055" s="520"/>
      <c r="H1055" s="520"/>
      <c r="I1055" s="520"/>
    </row>
    <row r="1056" spans="6:9">
      <c r="F1056" s="520"/>
      <c r="G1056" s="520"/>
      <c r="H1056" s="520"/>
      <c r="I1056" s="520"/>
    </row>
    <row r="1057" spans="6:9">
      <c r="F1057" s="520"/>
      <c r="G1057" s="520"/>
      <c r="H1057" s="520"/>
      <c r="I1057" s="520"/>
    </row>
    <row r="1058" spans="6:9">
      <c r="F1058" s="520"/>
      <c r="G1058" s="520"/>
      <c r="H1058" s="520"/>
      <c r="I1058" s="520"/>
    </row>
    <row r="1059" spans="6:9">
      <c r="F1059" s="520"/>
      <c r="G1059" s="520"/>
      <c r="H1059" s="520"/>
      <c r="I1059" s="520"/>
    </row>
    <row r="1060" spans="6:9">
      <c r="F1060" s="520"/>
      <c r="G1060" s="520"/>
      <c r="H1060" s="520"/>
      <c r="I1060" s="520"/>
    </row>
    <row r="1061" spans="6:9">
      <c r="F1061" s="520"/>
      <c r="G1061" s="520"/>
      <c r="H1061" s="520"/>
      <c r="I1061" s="520"/>
    </row>
    <row r="1062" spans="6:9">
      <c r="F1062" s="520"/>
      <c r="G1062" s="520"/>
      <c r="H1062" s="520"/>
      <c r="I1062" s="520"/>
    </row>
    <row r="1063" spans="6:9">
      <c r="F1063" s="520"/>
      <c r="G1063" s="520"/>
      <c r="H1063" s="520"/>
      <c r="I1063" s="520"/>
    </row>
    <row r="1064" spans="6:9">
      <c r="F1064" s="520"/>
      <c r="G1064" s="520"/>
      <c r="H1064" s="520"/>
      <c r="I1064" s="520"/>
    </row>
    <row r="1065" spans="6:9">
      <c r="F1065" s="520"/>
      <c r="G1065" s="520"/>
      <c r="H1065" s="520"/>
      <c r="I1065" s="520"/>
    </row>
    <row r="1066" spans="6:9">
      <c r="F1066" s="520"/>
      <c r="G1066" s="520"/>
      <c r="H1066" s="520"/>
      <c r="I1066" s="520"/>
    </row>
    <row r="1067" spans="6:9">
      <c r="F1067" s="520"/>
      <c r="G1067" s="520"/>
      <c r="H1067" s="520"/>
      <c r="I1067" s="520"/>
    </row>
    <row r="1068" spans="6:9">
      <c r="F1068" s="520"/>
      <c r="G1068" s="520"/>
      <c r="H1068" s="520"/>
      <c r="I1068" s="520"/>
    </row>
    <row r="1069" spans="6:9">
      <c r="F1069" s="520"/>
      <c r="G1069" s="520"/>
      <c r="H1069" s="520"/>
      <c r="I1069" s="520"/>
    </row>
    <row r="1070" spans="6:9">
      <c r="F1070" s="520"/>
      <c r="G1070" s="520"/>
      <c r="H1070" s="520"/>
      <c r="I1070" s="520"/>
    </row>
    <row r="1071" spans="6:9">
      <c r="F1071" s="520"/>
      <c r="G1071" s="520"/>
      <c r="H1071" s="520"/>
      <c r="I1071" s="520"/>
    </row>
    <row r="1072" spans="6:9">
      <c r="F1072" s="520"/>
      <c r="G1072" s="520"/>
      <c r="H1072" s="520"/>
      <c r="I1072" s="520"/>
    </row>
    <row r="1073" spans="6:9">
      <c r="F1073" s="520"/>
      <c r="G1073" s="520"/>
      <c r="H1073" s="520"/>
      <c r="I1073" s="520"/>
    </row>
    <row r="1074" spans="6:9">
      <c r="F1074" s="520"/>
      <c r="G1074" s="520"/>
      <c r="H1074" s="520"/>
      <c r="I1074" s="520"/>
    </row>
    <row r="1075" spans="6:9">
      <c r="F1075" s="520"/>
      <c r="G1075" s="520"/>
      <c r="H1075" s="520"/>
      <c r="I1075" s="520"/>
    </row>
    <row r="1076" spans="6:9">
      <c r="F1076" s="520"/>
      <c r="G1076" s="520"/>
      <c r="H1076" s="520"/>
      <c r="I1076" s="520"/>
    </row>
    <row r="1077" spans="6:9">
      <c r="F1077" s="520"/>
      <c r="G1077" s="520"/>
      <c r="H1077" s="520"/>
      <c r="I1077" s="520"/>
    </row>
    <row r="1078" spans="6:9">
      <c r="F1078" s="520"/>
      <c r="G1078" s="520"/>
      <c r="H1078" s="520"/>
      <c r="I1078" s="520"/>
    </row>
    <row r="1079" spans="6:9">
      <c r="F1079" s="520"/>
      <c r="G1079" s="520"/>
      <c r="H1079" s="520"/>
      <c r="I1079" s="520"/>
    </row>
    <row r="1080" spans="6:9">
      <c r="F1080" s="520"/>
      <c r="G1080" s="520"/>
      <c r="H1080" s="520"/>
      <c r="I1080" s="520"/>
    </row>
    <row r="1081" spans="6:9">
      <c r="F1081" s="520"/>
      <c r="G1081" s="520"/>
      <c r="H1081" s="520"/>
      <c r="I1081" s="520"/>
    </row>
    <row r="1082" spans="6:9">
      <c r="F1082" s="520"/>
      <c r="G1082" s="520"/>
      <c r="H1082" s="520"/>
      <c r="I1082" s="520"/>
    </row>
    <row r="1083" spans="6:9">
      <c r="F1083" s="520"/>
      <c r="G1083" s="520"/>
      <c r="H1083" s="520"/>
      <c r="I1083" s="520"/>
    </row>
    <row r="1084" spans="6:9">
      <c r="F1084" s="520"/>
      <c r="G1084" s="520"/>
      <c r="H1084" s="520"/>
      <c r="I1084" s="520"/>
    </row>
    <row r="1085" spans="6:9">
      <c r="F1085" s="520"/>
      <c r="G1085" s="520"/>
      <c r="H1085" s="520"/>
      <c r="I1085" s="520"/>
    </row>
    <row r="1086" spans="6:9">
      <c r="F1086" s="520"/>
      <c r="G1086" s="520"/>
      <c r="H1086" s="520"/>
      <c r="I1086" s="520"/>
    </row>
    <row r="1087" spans="6:9">
      <c r="F1087" s="520"/>
      <c r="G1087" s="520"/>
      <c r="H1087" s="520"/>
      <c r="I1087" s="520"/>
    </row>
    <row r="1088" spans="6:9">
      <c r="F1088" s="520"/>
      <c r="G1088" s="520"/>
      <c r="H1088" s="520"/>
      <c r="I1088" s="520"/>
    </row>
    <row r="1089" spans="6:9">
      <c r="F1089" s="520"/>
      <c r="G1089" s="520"/>
      <c r="H1089" s="520"/>
      <c r="I1089" s="520"/>
    </row>
    <row r="1090" spans="6:9">
      <c r="F1090" s="520"/>
      <c r="G1090" s="520"/>
      <c r="H1090" s="520"/>
      <c r="I1090" s="520"/>
    </row>
    <row r="1091" spans="6:9">
      <c r="F1091" s="520"/>
      <c r="G1091" s="520"/>
      <c r="H1091" s="520"/>
      <c r="I1091" s="520"/>
    </row>
    <row r="1092" spans="6:9">
      <c r="F1092" s="520"/>
      <c r="G1092" s="520"/>
      <c r="H1092" s="520"/>
      <c r="I1092" s="520"/>
    </row>
    <row r="1093" spans="6:9">
      <c r="F1093" s="520"/>
      <c r="G1093" s="520"/>
      <c r="H1093" s="520"/>
      <c r="I1093" s="520"/>
    </row>
    <row r="1094" spans="6:9">
      <c r="F1094" s="520"/>
      <c r="G1094" s="520"/>
      <c r="H1094" s="520"/>
      <c r="I1094" s="520"/>
    </row>
    <row r="1095" spans="6:9">
      <c r="F1095" s="520"/>
      <c r="G1095" s="520"/>
      <c r="H1095" s="520"/>
      <c r="I1095" s="520"/>
    </row>
    <row r="1096" spans="6:9">
      <c r="F1096" s="520"/>
      <c r="G1096" s="520"/>
      <c r="H1096" s="520"/>
      <c r="I1096" s="520"/>
    </row>
    <row r="1097" spans="6:9">
      <c r="F1097" s="520"/>
      <c r="G1097" s="520"/>
      <c r="H1097" s="520"/>
      <c r="I1097" s="520"/>
    </row>
    <row r="1098" spans="6:9">
      <c r="F1098" s="520"/>
      <c r="G1098" s="520"/>
      <c r="H1098" s="520"/>
      <c r="I1098" s="520"/>
    </row>
    <row r="1099" spans="6:9">
      <c r="F1099" s="520"/>
      <c r="G1099" s="520"/>
      <c r="H1099" s="520"/>
      <c r="I1099" s="520"/>
    </row>
    <row r="1100" spans="6:9">
      <c r="F1100" s="520"/>
      <c r="G1100" s="520"/>
      <c r="H1100" s="520"/>
      <c r="I1100" s="520"/>
    </row>
    <row r="1101" spans="6:9">
      <c r="F1101" s="520"/>
      <c r="G1101" s="520"/>
      <c r="H1101" s="520"/>
      <c r="I1101" s="520"/>
    </row>
    <row r="1102" spans="6:9">
      <c r="F1102" s="520"/>
      <c r="G1102" s="520"/>
      <c r="H1102" s="520"/>
      <c r="I1102" s="520"/>
    </row>
    <row r="1103" spans="6:9">
      <c r="F1103" s="520"/>
      <c r="G1103" s="520"/>
      <c r="H1103" s="520"/>
      <c r="I1103" s="520"/>
    </row>
    <row r="1104" spans="6:9">
      <c r="F1104" s="520"/>
      <c r="G1104" s="520"/>
      <c r="H1104" s="520"/>
      <c r="I1104" s="520"/>
    </row>
    <row r="1105" spans="6:9">
      <c r="F1105" s="520"/>
      <c r="G1105" s="520"/>
      <c r="H1105" s="520"/>
      <c r="I1105" s="520"/>
    </row>
    <row r="1106" spans="6:9">
      <c r="F1106" s="520"/>
      <c r="G1106" s="520"/>
      <c r="H1106" s="520"/>
      <c r="I1106" s="520"/>
    </row>
    <row r="1107" spans="6:9">
      <c r="F1107" s="520"/>
      <c r="G1107" s="520"/>
      <c r="H1107" s="520"/>
      <c r="I1107" s="520"/>
    </row>
    <row r="1108" spans="6:9">
      <c r="F1108" s="520"/>
      <c r="G1108" s="520"/>
      <c r="H1108" s="520"/>
      <c r="I1108" s="520"/>
    </row>
    <row r="1109" spans="6:9">
      <c r="F1109" s="520"/>
      <c r="G1109" s="520"/>
      <c r="H1109" s="520"/>
      <c r="I1109" s="520"/>
    </row>
    <row r="1110" spans="6:9">
      <c r="F1110" s="520"/>
      <c r="G1110" s="520"/>
      <c r="H1110" s="520"/>
      <c r="I1110" s="520"/>
    </row>
    <row r="1111" spans="6:9">
      <c r="F1111" s="520"/>
      <c r="G1111" s="520"/>
      <c r="H1111" s="520"/>
      <c r="I1111" s="520"/>
    </row>
    <row r="1112" spans="6:9">
      <c r="F1112" s="520"/>
      <c r="G1112" s="520"/>
      <c r="H1112" s="520"/>
      <c r="I1112" s="520"/>
    </row>
    <row r="1113" spans="6:9">
      <c r="F1113" s="520"/>
      <c r="G1113" s="520"/>
      <c r="H1113" s="520"/>
      <c r="I1113" s="520"/>
    </row>
    <row r="1114" spans="6:9">
      <c r="F1114" s="520"/>
      <c r="G1114" s="520"/>
      <c r="H1114" s="520"/>
      <c r="I1114" s="520"/>
    </row>
    <row r="1115" spans="6:9">
      <c r="F1115" s="520"/>
      <c r="G1115" s="520"/>
      <c r="H1115" s="520"/>
      <c r="I1115" s="520"/>
    </row>
    <row r="1116" spans="6:9">
      <c r="F1116" s="520"/>
      <c r="G1116" s="520"/>
      <c r="H1116" s="520"/>
      <c r="I1116" s="520"/>
    </row>
    <row r="1117" spans="6:9">
      <c r="F1117" s="520"/>
      <c r="G1117" s="520"/>
      <c r="H1117" s="520"/>
      <c r="I1117" s="520"/>
    </row>
    <row r="1118" spans="6:9">
      <c r="F1118" s="520"/>
      <c r="G1118" s="520"/>
      <c r="H1118" s="520"/>
      <c r="I1118" s="520"/>
    </row>
    <row r="1119" spans="6:9">
      <c r="F1119" s="520"/>
      <c r="G1119" s="520"/>
      <c r="H1119" s="520"/>
      <c r="I1119" s="520"/>
    </row>
    <row r="1120" spans="6:9">
      <c r="F1120" s="520"/>
      <c r="G1120" s="520"/>
      <c r="H1120" s="520"/>
      <c r="I1120" s="520"/>
    </row>
    <row r="1121" spans="6:9">
      <c r="F1121" s="520"/>
      <c r="G1121" s="520"/>
      <c r="H1121" s="520"/>
      <c r="I1121" s="520"/>
    </row>
    <row r="1122" spans="6:9">
      <c r="F1122" s="520"/>
      <c r="G1122" s="520"/>
      <c r="H1122" s="520"/>
      <c r="I1122" s="520"/>
    </row>
    <row r="1123" spans="6:9">
      <c r="F1123" s="520"/>
      <c r="G1123" s="520"/>
      <c r="H1123" s="520"/>
      <c r="I1123" s="520"/>
    </row>
    <row r="1124" spans="6:9">
      <c r="F1124" s="520"/>
      <c r="G1124" s="520"/>
      <c r="H1124" s="520"/>
      <c r="I1124" s="520"/>
    </row>
    <row r="1125" spans="6:9">
      <c r="F1125" s="520"/>
      <c r="G1125" s="520"/>
      <c r="H1125" s="520"/>
      <c r="I1125" s="520"/>
    </row>
    <row r="1126" spans="6:9">
      <c r="F1126" s="520"/>
      <c r="G1126" s="520"/>
      <c r="H1126" s="520"/>
      <c r="I1126" s="520"/>
    </row>
    <row r="1127" spans="6:9">
      <c r="F1127" s="520"/>
      <c r="G1127" s="520"/>
      <c r="H1127" s="520"/>
      <c r="I1127" s="520"/>
    </row>
    <row r="1128" spans="6:9">
      <c r="F1128" s="520"/>
      <c r="G1128" s="520"/>
      <c r="H1128" s="520"/>
      <c r="I1128" s="520"/>
    </row>
    <row r="1129" spans="6:9">
      <c r="F1129" s="520"/>
      <c r="G1129" s="520"/>
      <c r="H1129" s="520"/>
      <c r="I1129" s="520"/>
    </row>
    <row r="1130" spans="6:9">
      <c r="F1130" s="520"/>
      <c r="G1130" s="520"/>
      <c r="H1130" s="520"/>
      <c r="I1130" s="520"/>
    </row>
    <row r="1131" spans="6:9">
      <c r="F1131" s="520"/>
      <c r="G1131" s="520"/>
      <c r="H1131" s="520"/>
      <c r="I1131" s="520"/>
    </row>
    <row r="1132" spans="6:9">
      <c r="F1132" s="520"/>
      <c r="G1132" s="520"/>
      <c r="H1132" s="520"/>
      <c r="I1132" s="520"/>
    </row>
    <row r="1133" spans="6:9">
      <c r="F1133" s="520"/>
      <c r="G1133" s="520"/>
      <c r="H1133" s="520"/>
      <c r="I1133" s="520"/>
    </row>
    <row r="1134" spans="6:9">
      <c r="F1134" s="520"/>
      <c r="G1134" s="520"/>
      <c r="H1134" s="520"/>
      <c r="I1134" s="520"/>
    </row>
    <row r="1135" spans="6:9">
      <c r="F1135" s="520"/>
      <c r="G1135" s="520"/>
      <c r="H1135" s="520"/>
      <c r="I1135" s="520"/>
    </row>
    <row r="1136" spans="6:9">
      <c r="F1136" s="520"/>
      <c r="G1136" s="520"/>
      <c r="H1136" s="520"/>
      <c r="I1136" s="520"/>
    </row>
    <row r="1137" spans="6:9">
      <c r="F1137" s="520"/>
      <c r="G1137" s="520"/>
      <c r="H1137" s="520"/>
      <c r="I1137" s="520"/>
    </row>
    <row r="1138" spans="6:9">
      <c r="F1138" s="520"/>
      <c r="G1138" s="520"/>
      <c r="H1138" s="520"/>
      <c r="I1138" s="520"/>
    </row>
    <row r="1139" spans="6:9">
      <c r="F1139" s="520"/>
      <c r="G1139" s="520"/>
      <c r="H1139" s="520"/>
      <c r="I1139" s="520"/>
    </row>
    <row r="1140" spans="6:9">
      <c r="F1140" s="520"/>
      <c r="G1140" s="520"/>
      <c r="H1140" s="520"/>
      <c r="I1140" s="520"/>
    </row>
    <row r="1141" spans="6:9">
      <c r="F1141" s="520"/>
      <c r="G1141" s="520"/>
      <c r="H1141" s="520"/>
      <c r="I1141" s="520"/>
    </row>
    <row r="1142" spans="6:9">
      <c r="F1142" s="520"/>
      <c r="G1142" s="520"/>
      <c r="H1142" s="520"/>
      <c r="I1142" s="520"/>
    </row>
    <row r="1143" spans="6:9">
      <c r="F1143" s="520"/>
      <c r="G1143" s="520"/>
      <c r="H1143" s="520"/>
      <c r="I1143" s="520"/>
    </row>
    <row r="1144" spans="6:9">
      <c r="F1144" s="520"/>
      <c r="G1144" s="520"/>
      <c r="H1144" s="520"/>
      <c r="I1144" s="520"/>
    </row>
    <row r="1145" spans="6:9">
      <c r="F1145" s="520"/>
      <c r="G1145" s="520"/>
      <c r="H1145" s="520"/>
      <c r="I1145" s="520"/>
    </row>
    <row r="1146" spans="6:9">
      <c r="F1146" s="520"/>
      <c r="G1146" s="520"/>
      <c r="H1146" s="520"/>
      <c r="I1146" s="520"/>
    </row>
    <row r="1147" spans="6:9">
      <c r="F1147" s="520"/>
      <c r="G1147" s="520"/>
      <c r="H1147" s="520"/>
      <c r="I1147" s="520"/>
    </row>
    <row r="1148" spans="6:9">
      <c r="F1148" s="520"/>
      <c r="G1148" s="520"/>
      <c r="H1148" s="520"/>
      <c r="I1148" s="520"/>
    </row>
    <row r="1149" spans="6:9">
      <c r="F1149" s="520"/>
      <c r="G1149" s="520"/>
      <c r="H1149" s="520"/>
      <c r="I1149" s="520"/>
    </row>
    <row r="1150" spans="6:9">
      <c r="F1150" s="520"/>
      <c r="G1150" s="520"/>
      <c r="H1150" s="520"/>
      <c r="I1150" s="520"/>
    </row>
    <row r="1151" spans="6:9">
      <c r="F1151" s="520"/>
      <c r="G1151" s="520"/>
      <c r="H1151" s="520"/>
      <c r="I1151" s="520"/>
    </row>
    <row r="1152" spans="6:9">
      <c r="F1152" s="520"/>
      <c r="G1152" s="520"/>
      <c r="H1152" s="520"/>
      <c r="I1152" s="520"/>
    </row>
    <row r="1153" spans="6:9">
      <c r="F1153" s="520"/>
      <c r="G1153" s="520"/>
      <c r="H1153" s="520"/>
      <c r="I1153" s="520"/>
    </row>
    <row r="1154" spans="6:9">
      <c r="F1154" s="520"/>
      <c r="G1154" s="520"/>
      <c r="H1154" s="520"/>
      <c r="I1154" s="520"/>
    </row>
    <row r="1155" spans="6:9">
      <c r="F1155" s="520"/>
      <c r="G1155" s="520"/>
      <c r="H1155" s="520"/>
      <c r="I1155" s="520"/>
    </row>
    <row r="1156" spans="6:9">
      <c r="F1156" s="520"/>
      <c r="G1156" s="520"/>
      <c r="H1156" s="520"/>
      <c r="I1156" s="520"/>
    </row>
    <row r="1157" spans="6:9">
      <c r="F1157" s="520"/>
      <c r="G1157" s="520"/>
      <c r="H1157" s="520"/>
      <c r="I1157" s="520"/>
    </row>
    <row r="1158" spans="6:9">
      <c r="F1158" s="520"/>
      <c r="G1158" s="520"/>
      <c r="H1158" s="520"/>
      <c r="I1158" s="520"/>
    </row>
    <row r="1159" spans="6:9">
      <c r="F1159" s="520"/>
      <c r="G1159" s="520"/>
      <c r="H1159" s="520"/>
      <c r="I1159" s="520"/>
    </row>
    <row r="1160" spans="6:9">
      <c r="F1160" s="520"/>
      <c r="G1160" s="520"/>
      <c r="H1160" s="520"/>
      <c r="I1160" s="520"/>
    </row>
    <row r="1161" spans="6:9">
      <c r="F1161" s="520"/>
      <c r="G1161" s="520"/>
      <c r="H1161" s="520"/>
      <c r="I1161" s="520"/>
    </row>
    <row r="1162" spans="6:9">
      <c r="F1162" s="520"/>
      <c r="G1162" s="520"/>
      <c r="H1162" s="520"/>
      <c r="I1162" s="520"/>
    </row>
    <row r="1163" spans="6:9">
      <c r="F1163" s="520"/>
      <c r="G1163" s="520"/>
      <c r="H1163" s="520"/>
      <c r="I1163" s="520"/>
    </row>
    <row r="1164" spans="6:9">
      <c r="F1164" s="520"/>
      <c r="G1164" s="520"/>
      <c r="H1164" s="520"/>
      <c r="I1164" s="520"/>
    </row>
    <row r="1165" spans="6:9">
      <c r="F1165" s="520"/>
      <c r="G1165" s="520"/>
      <c r="H1165" s="520"/>
      <c r="I1165" s="520"/>
    </row>
    <row r="1166" spans="6:9">
      <c r="F1166" s="520"/>
      <c r="G1166" s="520"/>
      <c r="H1166" s="520"/>
      <c r="I1166" s="520"/>
    </row>
    <row r="1167" spans="6:9">
      <c r="F1167" s="520"/>
      <c r="G1167" s="520"/>
      <c r="H1167" s="520"/>
      <c r="I1167" s="520"/>
    </row>
    <row r="1168" spans="6:9">
      <c r="F1168" s="520"/>
      <c r="G1168" s="520"/>
      <c r="H1168" s="520"/>
      <c r="I1168" s="520"/>
    </row>
    <row r="1169" spans="6:9">
      <c r="F1169" s="520"/>
      <c r="G1169" s="520"/>
      <c r="H1169" s="520"/>
      <c r="I1169" s="520"/>
    </row>
    <row r="1170" spans="6:9">
      <c r="F1170" s="520"/>
      <c r="G1170" s="520"/>
      <c r="H1170" s="520"/>
      <c r="I1170" s="520"/>
    </row>
    <row r="1171" spans="6:9">
      <c r="F1171" s="520"/>
      <c r="G1171" s="520"/>
      <c r="H1171" s="520"/>
      <c r="I1171" s="520"/>
    </row>
    <row r="1172" spans="6:9">
      <c r="F1172" s="520"/>
      <c r="G1172" s="520"/>
      <c r="H1172" s="520"/>
      <c r="I1172" s="520"/>
    </row>
    <row r="1173" spans="6:9">
      <c r="F1173" s="520"/>
      <c r="G1173" s="520"/>
      <c r="H1173" s="520"/>
      <c r="I1173" s="520"/>
    </row>
    <row r="1174" spans="6:9">
      <c r="F1174" s="520"/>
      <c r="G1174" s="520"/>
      <c r="H1174" s="520"/>
      <c r="I1174" s="520"/>
    </row>
    <row r="1175" spans="6:9">
      <c r="F1175" s="520"/>
      <c r="G1175" s="520"/>
      <c r="H1175" s="520"/>
      <c r="I1175" s="520"/>
    </row>
    <row r="1176" spans="6:9">
      <c r="F1176" s="520"/>
      <c r="G1176" s="520"/>
      <c r="H1176" s="520"/>
      <c r="I1176" s="520"/>
    </row>
    <row r="1177" spans="6:9">
      <c r="F1177" s="520"/>
      <c r="G1177" s="520"/>
      <c r="H1177" s="520"/>
      <c r="I1177" s="520"/>
    </row>
    <row r="1178" spans="6:9">
      <c r="F1178" s="520"/>
      <c r="G1178" s="520"/>
      <c r="H1178" s="520"/>
      <c r="I1178" s="520"/>
    </row>
    <row r="1179" spans="6:9">
      <c r="F1179" s="520"/>
      <c r="G1179" s="520"/>
      <c r="H1179" s="520"/>
      <c r="I1179" s="520"/>
    </row>
    <row r="1180" spans="6:9">
      <c r="F1180" s="520"/>
      <c r="G1180" s="520"/>
      <c r="H1180" s="520"/>
      <c r="I1180" s="520"/>
    </row>
    <row r="1181" spans="6:9">
      <c r="F1181" s="520"/>
      <c r="G1181" s="520"/>
      <c r="H1181" s="520"/>
      <c r="I1181" s="520"/>
    </row>
    <row r="1182" spans="6:9">
      <c r="F1182" s="520"/>
      <c r="G1182" s="520"/>
      <c r="H1182" s="520"/>
      <c r="I1182" s="520"/>
    </row>
    <row r="1183" spans="6:9">
      <c r="F1183" s="520"/>
      <c r="G1183" s="520"/>
      <c r="H1183" s="520"/>
      <c r="I1183" s="520"/>
    </row>
    <row r="1184" spans="6:9">
      <c r="F1184" s="520"/>
      <c r="G1184" s="520"/>
      <c r="H1184" s="520"/>
      <c r="I1184" s="520"/>
    </row>
    <row r="1185" spans="6:9">
      <c r="F1185" s="520"/>
      <c r="G1185" s="520"/>
      <c r="H1185" s="520"/>
      <c r="I1185" s="520"/>
    </row>
    <row r="1186" spans="6:9">
      <c r="F1186" s="520"/>
      <c r="G1186" s="520"/>
      <c r="H1186" s="520"/>
      <c r="I1186" s="520"/>
    </row>
    <row r="1187" spans="6:9">
      <c r="F1187" s="520"/>
      <c r="G1187" s="520"/>
      <c r="H1187" s="520"/>
      <c r="I1187" s="520"/>
    </row>
    <row r="1188" spans="6:9">
      <c r="F1188" s="520"/>
      <c r="G1188" s="520"/>
      <c r="H1188" s="520"/>
      <c r="I1188" s="520"/>
    </row>
    <row r="1189" spans="6:9">
      <c r="F1189" s="520"/>
      <c r="G1189" s="520"/>
      <c r="H1189" s="520"/>
      <c r="I1189" s="520"/>
    </row>
    <row r="1190" spans="6:9">
      <c r="F1190" s="520"/>
      <c r="G1190" s="520"/>
      <c r="H1190" s="520"/>
      <c r="I1190" s="520"/>
    </row>
    <row r="1191" spans="6:9">
      <c r="F1191" s="520"/>
      <c r="G1191" s="520"/>
      <c r="H1191" s="520"/>
      <c r="I1191" s="520"/>
    </row>
    <row r="1192" spans="6:9">
      <c r="F1192" s="520"/>
      <c r="G1192" s="520"/>
      <c r="H1192" s="520"/>
      <c r="I1192" s="520"/>
    </row>
    <row r="1193" spans="6:9">
      <c r="F1193" s="520"/>
      <c r="G1193" s="520"/>
      <c r="H1193" s="520"/>
      <c r="I1193" s="520"/>
    </row>
    <row r="1194" spans="6:9">
      <c r="F1194" s="520"/>
      <c r="G1194" s="520"/>
      <c r="H1194" s="520"/>
      <c r="I1194" s="520"/>
    </row>
    <row r="1195" spans="6:9">
      <c r="F1195" s="520"/>
      <c r="G1195" s="520"/>
      <c r="H1195" s="520"/>
      <c r="I1195" s="520"/>
    </row>
    <row r="1196" spans="6:9">
      <c r="F1196" s="520"/>
      <c r="G1196" s="520"/>
      <c r="H1196" s="520"/>
      <c r="I1196" s="520"/>
    </row>
    <row r="1197" spans="6:9">
      <c r="F1197" s="520"/>
      <c r="G1197" s="520"/>
      <c r="H1197" s="520"/>
      <c r="I1197" s="520"/>
    </row>
    <row r="1198" spans="6:9">
      <c r="F1198" s="520"/>
      <c r="G1198" s="520"/>
      <c r="H1198" s="520"/>
      <c r="I1198" s="520"/>
    </row>
    <row r="1199" spans="6:9">
      <c r="F1199" s="520"/>
      <c r="G1199" s="520"/>
      <c r="H1199" s="520"/>
      <c r="I1199" s="520"/>
    </row>
    <row r="1200" spans="6:9">
      <c r="F1200" s="520"/>
      <c r="G1200" s="520"/>
      <c r="H1200" s="520"/>
      <c r="I1200" s="520"/>
    </row>
    <row r="1201" spans="6:9">
      <c r="F1201" s="520"/>
      <c r="G1201" s="520"/>
      <c r="H1201" s="520"/>
      <c r="I1201" s="520"/>
    </row>
    <row r="1202" spans="6:9">
      <c r="F1202" s="520"/>
      <c r="G1202" s="520"/>
      <c r="H1202" s="520"/>
      <c r="I1202" s="520"/>
    </row>
    <row r="1203" spans="6:9">
      <c r="F1203" s="520"/>
      <c r="G1203" s="520"/>
      <c r="H1203" s="520"/>
      <c r="I1203" s="520"/>
    </row>
    <row r="1204" spans="6:9">
      <c r="F1204" s="520"/>
      <c r="G1204" s="520"/>
      <c r="H1204" s="520"/>
      <c r="I1204" s="520"/>
    </row>
    <row r="1205" spans="6:9">
      <c r="F1205" s="520"/>
      <c r="G1205" s="520"/>
      <c r="H1205" s="520"/>
      <c r="I1205" s="520"/>
    </row>
    <row r="1206" spans="6:9">
      <c r="F1206" s="520"/>
      <c r="G1206" s="520"/>
      <c r="H1206" s="520"/>
      <c r="I1206" s="520"/>
    </row>
    <row r="1207" spans="6:9">
      <c r="F1207" s="520"/>
      <c r="G1207" s="520"/>
      <c r="H1207" s="520"/>
      <c r="I1207" s="520"/>
    </row>
    <row r="1208" spans="6:9">
      <c r="F1208" s="520"/>
      <c r="G1208" s="520"/>
      <c r="H1208" s="520"/>
      <c r="I1208" s="520"/>
    </row>
    <row r="1209" spans="6:9">
      <c r="F1209" s="520"/>
      <c r="G1209" s="520"/>
      <c r="H1209" s="520"/>
      <c r="I1209" s="520"/>
    </row>
    <row r="1210" spans="6:9">
      <c r="F1210" s="520"/>
      <c r="G1210" s="520"/>
      <c r="H1210" s="520"/>
      <c r="I1210" s="520"/>
    </row>
    <row r="1211" spans="6:9">
      <c r="F1211" s="520"/>
      <c r="G1211" s="520"/>
      <c r="H1211" s="520"/>
      <c r="I1211" s="520"/>
    </row>
    <row r="1212" spans="6:9">
      <c r="F1212" s="520"/>
      <c r="G1212" s="520"/>
      <c r="H1212" s="520"/>
      <c r="I1212" s="520"/>
    </row>
    <row r="1213" spans="6:9">
      <c r="F1213" s="520"/>
      <c r="G1213" s="520"/>
      <c r="H1213" s="520"/>
      <c r="I1213" s="520"/>
    </row>
    <row r="1214" spans="6:9">
      <c r="F1214" s="520"/>
      <c r="G1214" s="520"/>
      <c r="H1214" s="520"/>
      <c r="I1214" s="520"/>
    </row>
    <row r="1215" spans="6:9">
      <c r="F1215" s="520"/>
      <c r="G1215" s="520"/>
      <c r="H1215" s="520"/>
      <c r="I1215" s="520"/>
    </row>
    <row r="1216" spans="6:9">
      <c r="F1216" s="520"/>
      <c r="G1216" s="520"/>
      <c r="H1216" s="520"/>
      <c r="I1216" s="520"/>
    </row>
    <row r="1217" spans="6:9">
      <c r="F1217" s="520"/>
      <c r="G1217" s="520"/>
      <c r="H1217" s="520"/>
      <c r="I1217" s="520"/>
    </row>
    <row r="1218" spans="6:9">
      <c r="F1218" s="520"/>
      <c r="G1218" s="520"/>
      <c r="H1218" s="520"/>
      <c r="I1218" s="520"/>
    </row>
    <row r="1219" spans="6:9">
      <c r="F1219" s="520"/>
      <c r="G1219" s="520"/>
      <c r="H1219" s="520"/>
      <c r="I1219" s="520"/>
    </row>
    <row r="1220" spans="6:9">
      <c r="F1220" s="520"/>
      <c r="G1220" s="520"/>
      <c r="H1220" s="520"/>
      <c r="I1220" s="520"/>
    </row>
    <row r="1221" spans="6:9">
      <c r="F1221" s="520"/>
      <c r="G1221" s="520"/>
      <c r="H1221" s="520"/>
      <c r="I1221" s="520"/>
    </row>
    <row r="1222" spans="6:9">
      <c r="F1222" s="520"/>
      <c r="G1222" s="520"/>
      <c r="H1222" s="520"/>
      <c r="I1222" s="520"/>
    </row>
    <row r="1223" spans="6:9">
      <c r="F1223" s="520"/>
      <c r="G1223" s="520"/>
      <c r="H1223" s="520"/>
      <c r="I1223" s="520"/>
    </row>
    <row r="1224" spans="6:9">
      <c r="F1224" s="520"/>
      <c r="G1224" s="520"/>
      <c r="H1224" s="520"/>
      <c r="I1224" s="520"/>
    </row>
    <row r="1225" spans="6:9">
      <c r="F1225" s="520"/>
      <c r="G1225" s="520"/>
      <c r="H1225" s="520"/>
      <c r="I1225" s="520"/>
    </row>
    <row r="1226" spans="6:9">
      <c r="F1226" s="520"/>
      <c r="G1226" s="520"/>
      <c r="H1226" s="520"/>
      <c r="I1226" s="520"/>
    </row>
    <row r="1227" spans="6:9">
      <c r="F1227" s="520"/>
      <c r="G1227" s="520"/>
      <c r="H1227" s="520"/>
      <c r="I1227" s="520"/>
    </row>
    <row r="1228" spans="6:9">
      <c r="F1228" s="520"/>
      <c r="G1228" s="520"/>
      <c r="H1228" s="520"/>
      <c r="I1228" s="520"/>
    </row>
    <row r="1229" spans="6:9">
      <c r="F1229" s="520"/>
      <c r="G1229" s="520"/>
      <c r="H1229" s="520"/>
      <c r="I1229" s="520"/>
    </row>
    <row r="1230" spans="6:9">
      <c r="F1230" s="520"/>
      <c r="G1230" s="520"/>
      <c r="H1230" s="520"/>
      <c r="I1230" s="520"/>
    </row>
    <row r="1231" spans="6:9">
      <c r="F1231" s="520"/>
      <c r="G1231" s="520"/>
      <c r="H1231" s="520"/>
      <c r="I1231" s="520"/>
    </row>
    <row r="1232" spans="6:9">
      <c r="F1232" s="520"/>
      <c r="G1232" s="520"/>
      <c r="H1232" s="520"/>
      <c r="I1232" s="520"/>
    </row>
    <row r="1233" spans="6:9">
      <c r="F1233" s="520"/>
      <c r="G1233" s="520"/>
      <c r="H1233" s="520"/>
      <c r="I1233" s="520"/>
    </row>
    <row r="1234" spans="6:9">
      <c r="F1234" s="520"/>
      <c r="G1234" s="520"/>
      <c r="H1234" s="520"/>
      <c r="I1234" s="520"/>
    </row>
    <row r="1235" spans="6:9">
      <c r="F1235" s="520"/>
      <c r="G1235" s="520"/>
      <c r="H1235" s="520"/>
      <c r="I1235" s="520"/>
    </row>
    <row r="1236" spans="6:9">
      <c r="F1236" s="520"/>
      <c r="G1236" s="520"/>
      <c r="H1236" s="520"/>
      <c r="I1236" s="520"/>
    </row>
    <row r="1237" spans="6:9">
      <c r="F1237" s="520"/>
      <c r="G1237" s="520"/>
      <c r="H1237" s="520"/>
      <c r="I1237" s="520"/>
    </row>
    <row r="1238" spans="6:9">
      <c r="F1238" s="520"/>
      <c r="G1238" s="520"/>
      <c r="H1238" s="520"/>
      <c r="I1238" s="520"/>
    </row>
    <row r="1239" spans="6:9">
      <c r="F1239" s="520"/>
      <c r="G1239" s="520"/>
      <c r="H1239" s="520"/>
      <c r="I1239" s="520"/>
    </row>
    <row r="1240" spans="6:9">
      <c r="F1240" s="520"/>
      <c r="G1240" s="520"/>
      <c r="H1240" s="520"/>
      <c r="I1240" s="520"/>
    </row>
    <row r="1241" spans="6:9">
      <c r="F1241" s="520"/>
      <c r="G1241" s="520"/>
      <c r="H1241" s="520"/>
      <c r="I1241" s="520"/>
    </row>
    <row r="1242" spans="6:9">
      <c r="F1242" s="520"/>
      <c r="G1242" s="520"/>
      <c r="H1242" s="520"/>
      <c r="I1242" s="520"/>
    </row>
    <row r="1243" spans="6:9">
      <c r="F1243" s="520"/>
      <c r="G1243" s="520"/>
      <c r="H1243" s="520"/>
      <c r="I1243" s="520"/>
    </row>
    <row r="1244" spans="6:9">
      <c r="F1244" s="520"/>
      <c r="G1244" s="520"/>
      <c r="H1244" s="520"/>
      <c r="I1244" s="520"/>
    </row>
    <row r="1245" spans="6:9">
      <c r="F1245" s="520"/>
      <c r="G1245" s="520"/>
      <c r="H1245" s="520"/>
      <c r="I1245" s="520"/>
    </row>
    <row r="1246" spans="6:9">
      <c r="F1246" s="520"/>
      <c r="G1246" s="520"/>
      <c r="H1246" s="520"/>
      <c r="I1246" s="520"/>
    </row>
    <row r="1247" spans="6:9">
      <c r="F1247" s="520"/>
      <c r="G1247" s="520"/>
      <c r="H1247" s="520"/>
      <c r="I1247" s="520"/>
    </row>
    <row r="1248" spans="6:9">
      <c r="F1248" s="520"/>
      <c r="G1248" s="520"/>
      <c r="H1248" s="520"/>
      <c r="I1248" s="520"/>
    </row>
    <row r="1249" spans="6:9">
      <c r="F1249" s="520"/>
      <c r="G1249" s="520"/>
      <c r="H1249" s="520"/>
      <c r="I1249" s="520"/>
    </row>
    <row r="1250" spans="6:9">
      <c r="F1250" s="520"/>
      <c r="G1250" s="520"/>
      <c r="H1250" s="520"/>
      <c r="I1250" s="520"/>
    </row>
    <row r="1251" spans="6:9">
      <c r="F1251" s="520"/>
      <c r="G1251" s="520"/>
      <c r="H1251" s="520"/>
      <c r="I1251" s="520"/>
    </row>
    <row r="1252" spans="6:9">
      <c r="F1252" s="520"/>
      <c r="G1252" s="520"/>
      <c r="H1252" s="520"/>
      <c r="I1252" s="520"/>
    </row>
    <row r="1253" spans="6:9">
      <c r="F1253" s="520"/>
      <c r="G1253" s="520"/>
      <c r="H1253" s="520"/>
      <c r="I1253" s="520"/>
    </row>
    <row r="1254" spans="6:9">
      <c r="F1254" s="520"/>
      <c r="G1254" s="520"/>
      <c r="H1254" s="520"/>
      <c r="I1254" s="520"/>
    </row>
    <row r="1255" spans="6:9">
      <c r="F1255" s="520"/>
      <c r="G1255" s="520"/>
      <c r="H1255" s="520"/>
      <c r="I1255" s="520"/>
    </row>
    <row r="1256" spans="6:9">
      <c r="F1256" s="520"/>
      <c r="G1256" s="520"/>
      <c r="H1256" s="520"/>
      <c r="I1256" s="520"/>
    </row>
    <row r="1257" spans="6:9">
      <c r="F1257" s="520"/>
      <c r="G1257" s="520"/>
      <c r="H1257" s="520"/>
      <c r="I1257" s="520"/>
    </row>
    <row r="1258" spans="6:9">
      <c r="F1258" s="520"/>
      <c r="G1258" s="520"/>
      <c r="H1258" s="520"/>
      <c r="I1258" s="520"/>
    </row>
    <row r="1259" spans="6:9">
      <c r="F1259" s="520"/>
      <c r="G1259" s="520"/>
      <c r="H1259" s="520"/>
      <c r="I1259" s="520"/>
    </row>
    <row r="1260" spans="6:9">
      <c r="F1260" s="520"/>
      <c r="G1260" s="520"/>
      <c r="H1260" s="520"/>
      <c r="I1260" s="520"/>
    </row>
    <row r="1261" spans="6:9">
      <c r="F1261" s="520"/>
      <c r="G1261" s="520"/>
      <c r="H1261" s="520"/>
      <c r="I1261" s="520"/>
    </row>
    <row r="1262" spans="6:9">
      <c r="F1262" s="520"/>
      <c r="G1262" s="520"/>
      <c r="H1262" s="520"/>
      <c r="I1262" s="520"/>
    </row>
    <row r="1263" spans="6:9">
      <c r="F1263" s="520"/>
      <c r="G1263" s="520"/>
      <c r="H1263" s="520"/>
      <c r="I1263" s="520"/>
    </row>
    <row r="1264" spans="6:9">
      <c r="F1264" s="520"/>
      <c r="G1264" s="520"/>
      <c r="H1264" s="520"/>
      <c r="I1264" s="520"/>
    </row>
    <row r="1265" spans="6:9">
      <c r="F1265" s="520"/>
      <c r="G1265" s="520"/>
      <c r="H1265" s="520"/>
      <c r="I1265" s="520"/>
    </row>
    <row r="1266" spans="6:9">
      <c r="F1266" s="520"/>
      <c r="G1266" s="520"/>
      <c r="H1266" s="520"/>
      <c r="I1266" s="520"/>
    </row>
    <row r="1267" spans="6:9">
      <c r="F1267" s="520"/>
      <c r="G1267" s="520"/>
      <c r="H1267" s="520"/>
      <c r="I1267" s="520"/>
    </row>
    <row r="1268" spans="6:9">
      <c r="F1268" s="520"/>
      <c r="G1268" s="520"/>
      <c r="H1268" s="520"/>
      <c r="I1268" s="520"/>
    </row>
    <row r="1269" spans="6:9">
      <c r="F1269" s="520"/>
      <c r="G1269" s="520"/>
      <c r="H1269" s="520"/>
      <c r="I1269" s="520"/>
    </row>
    <row r="1270" spans="6:9">
      <c r="F1270" s="520"/>
      <c r="G1270" s="520"/>
      <c r="H1270" s="520"/>
      <c r="I1270" s="520"/>
    </row>
    <row r="1271" spans="6:9">
      <c r="F1271" s="520"/>
      <c r="G1271" s="520"/>
      <c r="H1271" s="520"/>
      <c r="I1271" s="520"/>
    </row>
    <row r="1272" spans="6:9">
      <c r="F1272" s="520"/>
      <c r="G1272" s="520"/>
      <c r="H1272" s="520"/>
      <c r="I1272" s="520"/>
    </row>
    <row r="1273" spans="6:9">
      <c r="F1273" s="520"/>
      <c r="G1273" s="520"/>
      <c r="H1273" s="520"/>
      <c r="I1273" s="520"/>
    </row>
    <row r="1274" spans="6:9">
      <c r="F1274" s="520"/>
      <c r="G1274" s="520"/>
      <c r="H1274" s="520"/>
      <c r="I1274" s="520"/>
    </row>
    <row r="1275" spans="6:9">
      <c r="F1275" s="520"/>
      <c r="G1275" s="520"/>
      <c r="H1275" s="520"/>
      <c r="I1275" s="520"/>
    </row>
    <row r="1276" spans="6:9">
      <c r="F1276" s="520"/>
      <c r="G1276" s="520"/>
      <c r="H1276" s="520"/>
      <c r="I1276" s="520"/>
    </row>
    <row r="1277" spans="6:9">
      <c r="F1277" s="520"/>
      <c r="G1277" s="520"/>
      <c r="H1277" s="520"/>
      <c r="I1277" s="520"/>
    </row>
    <row r="1278" spans="6:9">
      <c r="F1278" s="520"/>
      <c r="G1278" s="520"/>
      <c r="H1278" s="520"/>
      <c r="I1278" s="520"/>
    </row>
    <row r="1279" spans="6:9">
      <c r="F1279" s="520"/>
      <c r="G1279" s="520"/>
      <c r="H1279" s="520"/>
      <c r="I1279" s="520"/>
    </row>
    <row r="1280" spans="6:9">
      <c r="F1280" s="520"/>
      <c r="G1280" s="520"/>
      <c r="H1280" s="520"/>
      <c r="I1280" s="520"/>
    </row>
    <row r="1281" spans="6:9">
      <c r="F1281" s="520"/>
      <c r="G1281" s="520"/>
      <c r="H1281" s="520"/>
      <c r="I1281" s="520"/>
    </row>
    <row r="1282" spans="6:9">
      <c r="F1282" s="520"/>
      <c r="G1282" s="520"/>
      <c r="H1282" s="520"/>
      <c r="I1282" s="520"/>
    </row>
    <row r="1283" spans="6:9">
      <c r="F1283" s="520"/>
      <c r="G1283" s="520"/>
      <c r="H1283" s="520"/>
      <c r="I1283" s="520"/>
    </row>
    <row r="1284" spans="6:9">
      <c r="F1284" s="520"/>
      <c r="G1284" s="520"/>
      <c r="H1284" s="520"/>
      <c r="I1284" s="520"/>
    </row>
    <row r="1285" spans="6:9">
      <c r="F1285" s="520"/>
      <c r="G1285" s="520"/>
      <c r="H1285" s="520"/>
      <c r="I1285" s="520"/>
    </row>
    <row r="1286" spans="6:9">
      <c r="F1286" s="520"/>
      <c r="G1286" s="520"/>
      <c r="H1286" s="520"/>
      <c r="I1286" s="520"/>
    </row>
    <row r="1287" spans="6:9">
      <c r="F1287" s="520"/>
      <c r="G1287" s="520"/>
      <c r="H1287" s="520"/>
      <c r="I1287" s="520"/>
    </row>
    <row r="1288" spans="6:9">
      <c r="F1288" s="520"/>
      <c r="G1288" s="520"/>
      <c r="H1288" s="520"/>
      <c r="I1288" s="520"/>
    </row>
    <row r="1289" spans="6:9">
      <c r="F1289" s="520"/>
      <c r="G1289" s="520"/>
      <c r="H1289" s="520"/>
      <c r="I1289" s="520"/>
    </row>
    <row r="1290" spans="6:9">
      <c r="F1290" s="520"/>
      <c r="G1290" s="520"/>
      <c r="H1290" s="520"/>
      <c r="I1290" s="520"/>
    </row>
    <row r="1291" spans="6:9">
      <c r="F1291" s="520"/>
      <c r="G1291" s="520"/>
      <c r="H1291" s="520"/>
      <c r="I1291" s="520"/>
    </row>
    <row r="1292" spans="6:9">
      <c r="F1292" s="520"/>
      <c r="G1292" s="520"/>
      <c r="H1292" s="520"/>
      <c r="I1292" s="520"/>
    </row>
    <row r="1293" spans="6:9">
      <c r="F1293" s="520"/>
      <c r="G1293" s="520"/>
      <c r="H1293" s="520"/>
      <c r="I1293" s="520"/>
    </row>
    <row r="1294" spans="6:9">
      <c r="F1294" s="520"/>
      <c r="G1294" s="520"/>
      <c r="H1294" s="520"/>
      <c r="I1294" s="520"/>
    </row>
    <row r="1295" spans="6:9">
      <c r="F1295" s="520"/>
      <c r="G1295" s="520"/>
      <c r="H1295" s="520"/>
      <c r="I1295" s="520"/>
    </row>
    <row r="1296" spans="6:9">
      <c r="F1296" s="520"/>
      <c r="G1296" s="520"/>
      <c r="H1296" s="520"/>
      <c r="I1296" s="520"/>
    </row>
    <row r="1297" spans="6:9">
      <c r="F1297" s="520"/>
      <c r="G1297" s="520"/>
      <c r="H1297" s="520"/>
      <c r="I1297" s="520"/>
    </row>
    <row r="1298" spans="6:9">
      <c r="F1298" s="520"/>
      <c r="G1298" s="520"/>
      <c r="H1298" s="520"/>
      <c r="I1298" s="520"/>
    </row>
    <row r="1299" spans="6:9">
      <c r="F1299" s="520"/>
      <c r="G1299" s="520"/>
      <c r="H1299" s="520"/>
      <c r="I1299" s="520"/>
    </row>
    <row r="1300" spans="6:9">
      <c r="F1300" s="520"/>
      <c r="G1300" s="520"/>
      <c r="H1300" s="520"/>
      <c r="I1300" s="520"/>
    </row>
    <row r="1301" spans="6:9">
      <c r="F1301" s="520"/>
      <c r="G1301" s="520"/>
      <c r="H1301" s="520"/>
      <c r="I1301" s="520"/>
    </row>
    <row r="1302" spans="6:9">
      <c r="F1302" s="520"/>
      <c r="G1302" s="520"/>
      <c r="H1302" s="520"/>
      <c r="I1302" s="520"/>
    </row>
    <row r="1303" spans="6:9">
      <c r="F1303" s="520"/>
      <c r="G1303" s="520"/>
      <c r="H1303" s="520"/>
      <c r="I1303" s="520"/>
    </row>
    <row r="1304" spans="6:9">
      <c r="F1304" s="520"/>
      <c r="G1304" s="520"/>
      <c r="H1304" s="520"/>
      <c r="I1304" s="520"/>
    </row>
    <row r="1305" spans="6:9">
      <c r="F1305" s="520"/>
      <c r="G1305" s="520"/>
      <c r="H1305" s="520"/>
      <c r="I1305" s="520"/>
    </row>
    <row r="1306" spans="6:9">
      <c r="F1306" s="520"/>
      <c r="G1306" s="520"/>
      <c r="H1306" s="520"/>
      <c r="I1306" s="520"/>
    </row>
  </sheetData>
  <protectedRanges>
    <protectedRange sqref="G6:I19" name="Range1"/>
    <protectedRange sqref="G22:I43" name="Range2"/>
    <protectedRange sqref="G48:I51" name="Range3"/>
    <protectedRange sqref="G54:I57" name="Range4"/>
    <protectedRange sqref="G54:I57" name="Range5"/>
    <protectedRange sqref="G59:I66 G70:I76" name="Range6"/>
    <protectedRange sqref="G84:I87" name="Range8"/>
    <protectedRange sqref="G89:I91" name="Range9"/>
    <protectedRange sqref="G93:I93" name="Range10"/>
    <protectedRange sqref="G95:I97" name="Range11"/>
  </protectedRanges>
  <mergeCells count="3">
    <mergeCell ref="B1:D1"/>
    <mergeCell ref="C70:C76"/>
    <mergeCell ref="C78:C82"/>
  </mergeCells>
  <conditionalFormatting sqref="B70:B77">
    <cfRule type="expression" dxfId="21" priority="21">
      <formula>C$19="Gruppentreffen"</formula>
    </cfRule>
  </conditionalFormatting>
  <conditionalFormatting sqref="B93:C93 E93 B95:C97 E95:E97">
    <cfRule type="expression" dxfId="20" priority="15">
      <formula>B$19="Tour/Kurs"</formula>
    </cfRule>
    <cfRule type="expression" dxfId="19" priority="16">
      <formula>B$19="Gruppenausfahrt"</formula>
    </cfRule>
    <cfRule type="expression" dxfId="18" priority="17">
      <formula>B$19="Gruppentreffen"</formula>
    </cfRule>
  </conditionalFormatting>
  <conditionalFormatting sqref="C94:E94">
    <cfRule type="expression" dxfId="17" priority="14">
      <formula>C$19="Gruppentreffen"</formula>
    </cfRule>
  </conditionalFormatting>
  <conditionalFormatting sqref="F95:F96">
    <cfRule type="expression" dxfId="16" priority="9">
      <formula>F$19="Tour/Kurs"</formula>
    </cfRule>
    <cfRule type="expression" dxfId="15" priority="10">
      <formula>F$19="Gruppenausfahrt"</formula>
    </cfRule>
    <cfRule type="expression" dxfId="14" priority="11">
      <formula>F$19="Gruppentreffen"</formula>
    </cfRule>
  </conditionalFormatting>
  <conditionalFormatting sqref="G22:I31">
    <cfRule type="expression" dxfId="13" priority="8">
      <formula>COUNTA(G$33:G$43)&gt;0</formula>
    </cfRule>
  </conditionalFormatting>
  <conditionalFormatting sqref="G33:I43">
    <cfRule type="expression" dxfId="12" priority="7">
      <formula>COUNTA(G$22:G$31)&gt;0</formula>
    </cfRule>
  </conditionalFormatting>
  <conditionalFormatting sqref="G48:I50">
    <cfRule type="expression" dxfId="11" priority="6">
      <formula>COUNTA(G$51)=1</formula>
    </cfRule>
  </conditionalFormatting>
  <conditionalFormatting sqref="G51:I51">
    <cfRule type="expression" dxfId="10" priority="5">
      <formula>COUNTA(G$48:G$50)&gt;0</formula>
    </cfRule>
  </conditionalFormatting>
  <conditionalFormatting sqref="G54:I56">
    <cfRule type="expression" dxfId="9" priority="4">
      <formula>COUNTA(G$57)=1</formula>
    </cfRule>
  </conditionalFormatting>
  <conditionalFormatting sqref="G57:I57">
    <cfRule type="expression" dxfId="8" priority="3">
      <formula>COUNTA(G$54:G$56)&gt;0</formula>
    </cfRule>
  </conditionalFormatting>
  <conditionalFormatting sqref="G91:I91">
    <cfRule type="expression" dxfId="7" priority="12">
      <formula>G90&lt;&gt;"Andere (z.B. Tagungsraum)"</formula>
    </cfRule>
    <cfRule type="expression" priority="13">
      <formula>G90="Andere (z.B. Tagungsraum)"</formula>
    </cfRule>
  </conditionalFormatting>
  <conditionalFormatting sqref="G93:I93 G95:I97 G48:I51 G54:I57 G59:I66 G70:I76 G84:I87 G89:I91">
    <cfRule type="expression" dxfId="6" priority="2">
      <formula>G$19="Gruppentreffen"</formula>
    </cfRule>
  </conditionalFormatting>
  <conditionalFormatting sqref="G93:I93 G95:I97">
    <cfRule type="expression" dxfId="5" priority="1">
      <formula>OR(G$19="Tour/Kurs",G$19="Gruppenausfahrt")</formula>
    </cfRule>
  </conditionalFormatting>
  <conditionalFormatting sqref="G95:I95">
    <cfRule type="expression" dxfId="4" priority="20">
      <formula>G97&gt;0</formula>
    </cfRule>
  </conditionalFormatting>
  <conditionalFormatting sqref="G96:I96">
    <cfRule type="expression" dxfId="3" priority="18">
      <formula>G97&gt;0</formula>
    </cfRule>
    <cfRule type="expression" dxfId="2" priority="19">
      <formula>G97&lt;0.000001</formula>
    </cfRule>
  </conditionalFormatting>
  <conditionalFormatting sqref="G97:I97">
    <cfRule type="expression" dxfId="1" priority="22">
      <formula>G$96&lt;0.0001</formula>
    </cfRule>
    <cfRule type="expression" dxfId="0" priority="23">
      <formula>COUNTA(G$95:G$96)&gt;0</formula>
    </cfRule>
  </conditionalFormatting>
  <dataValidations count="10">
    <dataValidation operator="greaterThanOrEqual" showDropDown="1" showErrorMessage="1" sqref="G16:I16" xr:uid="{174DE039-58F1-4B67-9768-6BA39B63DFCF}"/>
    <dataValidation type="custom" allowBlank="1" showDropDown="1" sqref="G13:I13" xr:uid="{E0B82ADB-7F62-4BE6-9848-EEE2AAF6709A}">
      <formula1>OR(NOT(ISERROR(DATEVALUE(G13))), AND(ISNUMBER(G13), LEFT(CELL("format", G13))="D"))</formula1>
    </dataValidation>
    <dataValidation type="decimal" operator="greaterThanOrEqual" allowBlank="1" showErrorMessage="1" sqref="G10:I10 G33:I44" xr:uid="{AFE4C070-20FE-4E33-A765-8291B9FAFEB1}">
      <formula1>0</formula1>
    </dataValidation>
    <dataValidation type="decimal" operator="greaterThanOrEqual" allowBlank="1" showDropDown="1" showErrorMessage="1" sqref="D14:D15 D91 D95:D97 D70:D82 G14:I15 G82:I82 G54:I54 G95:I95 G80:I80 G48:I48 G78:I78 G97:I97 G91:I91 G85:I87" xr:uid="{6771CA35-24E6-4D12-B546-1B2EF24DC192}">
      <formula1>0</formula1>
    </dataValidation>
    <dataValidation allowBlank="1" showInputMessage="1" showErrorMessage="1" sqref="G81:I81 G79:I79" xr:uid="{3F5F0EC8-0C8D-4637-B010-76F56FAF0102}"/>
    <dataValidation type="decimal" operator="greaterThanOrEqual" allowBlank="1" showDropDown="1" sqref="D47:D48 D53:D54 D59:D67 D84:D87 D10 D13 D21:D44 D57 D51 G67:I67 G22:I32" xr:uid="{1A44B12C-1843-4B7E-8784-3E3E7DF644B3}">
      <formula1>0</formula1>
    </dataValidation>
    <dataValidation type="list" allowBlank="1" showErrorMessage="1" sqref="D19 G19:I19" xr:uid="{1798A35A-0C73-4A9A-81DF-0C54FEDE385F}">
      <formula1>"Veranstaltung,Gremiensitzung,Tour/Kurs,Gruppenausfahrt,Gruppentreffen"</formula1>
    </dataValidation>
    <dataValidation type="custom" allowBlank="1" showDropDown="1" sqref="F20:I20 G52:I52 G45:I46 H8:I8" xr:uid="{FB009AAD-6B37-4EC7-9BB9-2BC06EE64DEA}">
      <formula1>NOT(ISERROR(SEARCH(("Frei"),(F8))))</formula1>
    </dataValidation>
    <dataValidation type="list" allowBlank="1" sqref="D89 G89:I89" xr:uid="{B7113137-4861-4CB3-9237-282CB78D7BDC}">
      <formula1>"Ja,Nein"</formula1>
    </dataValidation>
    <dataValidation type="list" allowBlank="1" sqref="E19" xr:uid="{86E5BEA5-BBE8-467E-8EFE-BC460C6F3C79}">
      <formula1>"Veranstaltung,Gremiensitzung,Tour/Kurs,Gruppenausfahrt,Gruppentreffen"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outlinePr summaryBelow="0" summaryRight="0"/>
  </sheetPr>
  <dimension ref="A1:AC282"/>
  <sheetViews>
    <sheetView workbookViewId="0">
      <selection activeCell="M37" sqref="M37"/>
    </sheetView>
  </sheetViews>
  <sheetFormatPr defaultColWidth="14.42578125" defaultRowHeight="12.75" customHeight="1"/>
  <cols>
    <col min="1" max="1" width="12.42578125" customWidth="1"/>
    <col min="2" max="2" width="16" customWidth="1"/>
    <col min="3" max="3" width="25.7109375" bestFit="1" customWidth="1"/>
    <col min="4" max="4" width="7.5703125" customWidth="1"/>
    <col min="5" max="5" width="6.42578125" bestFit="1" customWidth="1"/>
    <col min="6" max="6" width="9.85546875" customWidth="1"/>
    <col min="7" max="7" width="17.28515625" customWidth="1"/>
    <col min="8" max="8" width="21.140625" customWidth="1"/>
    <col min="9" max="9" width="16.85546875" customWidth="1"/>
    <col min="10" max="10" width="6.85546875" customWidth="1"/>
    <col min="11" max="11" width="6.5703125" customWidth="1"/>
    <col min="12" max="12" width="6.85546875" customWidth="1"/>
    <col min="13" max="13" width="21.5703125" customWidth="1"/>
    <col min="14" max="14" width="17.28515625" customWidth="1"/>
    <col min="15" max="15" width="9.7109375" customWidth="1"/>
    <col min="16" max="16" width="9.85546875" bestFit="1" customWidth="1"/>
    <col min="17" max="17" width="5.85546875" customWidth="1"/>
    <col min="18" max="18" width="9.85546875" bestFit="1" customWidth="1"/>
    <col min="19" max="19" width="5.85546875" customWidth="1"/>
    <col min="20" max="20" width="15.5703125" customWidth="1"/>
    <col min="21" max="21" width="7.85546875" customWidth="1"/>
    <col min="22" max="22" width="4" bestFit="1" customWidth="1"/>
    <col min="23" max="23" width="3" bestFit="1" customWidth="1"/>
    <col min="24" max="24" width="4" bestFit="1" customWidth="1"/>
    <col min="25" max="25" width="2.85546875" customWidth="1"/>
    <col min="26" max="26" width="3.140625" customWidth="1"/>
    <col min="27" max="27" width="29.28515625" customWidth="1"/>
    <col min="28" max="28" width="8" bestFit="1" customWidth="1"/>
    <col min="29" max="29" width="29.28515625" customWidth="1"/>
  </cols>
  <sheetData>
    <row r="1" spans="1:29" ht="12.75" customHeight="1" thickBot="1">
      <c r="A1" s="1"/>
    </row>
    <row r="2" spans="1:29" ht="12.75" customHeight="1" thickTop="1">
      <c r="A2" s="1026" t="s">
        <v>225</v>
      </c>
      <c r="B2" s="1027"/>
      <c r="C2" s="1028"/>
      <c r="F2" s="1024"/>
      <c r="G2" s="1034" t="s">
        <v>226</v>
      </c>
      <c r="H2" s="1027"/>
      <c r="I2" s="1027"/>
      <c r="J2" s="1028"/>
    </row>
    <row r="3" spans="1:29" ht="12.75" customHeight="1">
      <c r="A3" s="1029" t="s">
        <v>227</v>
      </c>
      <c r="B3" s="1030" t="s">
        <v>228</v>
      </c>
      <c r="C3" s="1031"/>
      <c r="F3" s="1025"/>
      <c r="G3" s="1051" t="s">
        <v>229</v>
      </c>
      <c r="H3" s="1035" t="s">
        <v>230</v>
      </c>
      <c r="I3" s="1036"/>
      <c r="J3" s="1037"/>
    </row>
    <row r="4" spans="1:29" ht="12.75" customHeight="1">
      <c r="A4" s="1043" t="s">
        <v>231</v>
      </c>
      <c r="B4" s="1030" t="s">
        <v>232</v>
      </c>
      <c r="C4" s="1031"/>
      <c r="G4" s="1051" t="s">
        <v>233</v>
      </c>
      <c r="H4" s="1035" t="s">
        <v>234</v>
      </c>
      <c r="I4" s="1036"/>
      <c r="J4" s="1037"/>
    </row>
    <row r="5" spans="1:29" ht="12.75" customHeight="1">
      <c r="A5" s="1044" t="s">
        <v>235</v>
      </c>
      <c r="B5" s="1030" t="s">
        <v>236</v>
      </c>
      <c r="C5" s="1031"/>
      <c r="G5" s="1056" t="s">
        <v>237</v>
      </c>
      <c r="H5" s="1038"/>
      <c r="I5" s="1036"/>
      <c r="J5" s="1037"/>
    </row>
    <row r="6" spans="1:29" ht="12.75" customHeight="1">
      <c r="A6" s="1049" t="s">
        <v>238</v>
      </c>
      <c r="B6" s="1030" t="s">
        <v>239</v>
      </c>
      <c r="C6" s="1031"/>
      <c r="G6" s="1052" t="s">
        <v>240</v>
      </c>
      <c r="H6" s="1035" t="s">
        <v>241</v>
      </c>
      <c r="I6" s="1036"/>
      <c r="J6" s="1037"/>
    </row>
    <row r="7" spans="1:29" ht="12.75" customHeight="1">
      <c r="A7" s="1045" t="s">
        <v>242</v>
      </c>
      <c r="B7" s="1030" t="s">
        <v>243</v>
      </c>
      <c r="C7" s="1031"/>
      <c r="G7" s="1052" t="s">
        <v>244</v>
      </c>
      <c r="H7" s="1035" t="s">
        <v>245</v>
      </c>
      <c r="I7" s="1036"/>
      <c r="J7" s="1037"/>
    </row>
    <row r="8" spans="1:29" ht="12.75" customHeight="1">
      <c r="A8" s="1046" t="s">
        <v>246</v>
      </c>
      <c r="B8" s="1030" t="s">
        <v>247</v>
      </c>
      <c r="C8" s="1031"/>
      <c r="G8" s="1050" t="s">
        <v>248</v>
      </c>
      <c r="H8" s="1035" t="s">
        <v>249</v>
      </c>
      <c r="I8" s="1036"/>
      <c r="J8" s="1037"/>
    </row>
    <row r="9" spans="1:29" ht="12.75" customHeight="1">
      <c r="A9" s="1047" t="s">
        <v>250</v>
      </c>
      <c r="B9" s="1030" t="s">
        <v>251</v>
      </c>
      <c r="C9" s="1031"/>
      <c r="G9" s="1053" t="s">
        <v>252</v>
      </c>
      <c r="H9" s="1035" t="s">
        <v>253</v>
      </c>
      <c r="I9" s="1036"/>
      <c r="J9" s="1037"/>
    </row>
    <row r="10" spans="1:29" ht="13.5" thickBot="1">
      <c r="A10" s="1048" t="s">
        <v>254</v>
      </c>
      <c r="B10" s="1032" t="s">
        <v>255</v>
      </c>
      <c r="C10" s="1033"/>
      <c r="G10" s="1054" t="s">
        <v>256</v>
      </c>
      <c r="H10" s="1035" t="s">
        <v>257</v>
      </c>
      <c r="I10" s="1036"/>
      <c r="J10" s="1037"/>
    </row>
    <row r="11" spans="1:29" ht="12.75" customHeight="1" thickTop="1">
      <c r="G11" s="1055" t="s">
        <v>258</v>
      </c>
      <c r="H11" s="1035" t="s">
        <v>259</v>
      </c>
      <c r="I11" s="1036"/>
      <c r="J11" s="1037"/>
    </row>
    <row r="12" spans="1:29" ht="12.75" customHeight="1" thickBot="1">
      <c r="G12" s="1039"/>
      <c r="H12" s="1040"/>
      <c r="I12" s="1041"/>
      <c r="J12" s="1042"/>
    </row>
    <row r="13" spans="1:29" ht="12.75" customHeight="1" thickTop="1">
      <c r="G13" s="489"/>
      <c r="H13" s="489"/>
    </row>
    <row r="14" spans="1:29" s="25" customFormat="1" ht="12.75" customHeight="1">
      <c r="A14" s="48" t="s">
        <v>260</v>
      </c>
    </row>
    <row r="15" spans="1:29" ht="38.25">
      <c r="A15" s="420" t="s">
        <v>1</v>
      </c>
      <c r="B15" s="420" t="s">
        <v>261</v>
      </c>
      <c r="C15" s="420" t="s">
        <v>262</v>
      </c>
      <c r="D15" s="420" t="s">
        <v>263</v>
      </c>
      <c r="E15" s="421" t="s">
        <v>35</v>
      </c>
      <c r="F15" s="422" t="s">
        <v>264</v>
      </c>
      <c r="G15" s="423" t="s">
        <v>265</v>
      </c>
      <c r="H15" s="423" t="s">
        <v>266</v>
      </c>
      <c r="I15" s="424" t="s">
        <v>267</v>
      </c>
      <c r="J15" s="421" t="s">
        <v>268</v>
      </c>
      <c r="K15" s="426" t="s">
        <v>269</v>
      </c>
      <c r="L15" s="427" t="s">
        <v>270</v>
      </c>
      <c r="M15" s="425" t="s">
        <v>271</v>
      </c>
      <c r="N15" s="425" t="s">
        <v>270</v>
      </c>
      <c r="O15" s="422" t="s">
        <v>272</v>
      </c>
      <c r="P15" s="421" t="s">
        <v>64</v>
      </c>
      <c r="Q15" s="422" t="s">
        <v>273</v>
      </c>
      <c r="R15" s="421" t="s">
        <v>274</v>
      </c>
      <c r="S15" s="422" t="s">
        <v>275</v>
      </c>
      <c r="T15" s="421" t="s">
        <v>276</v>
      </c>
      <c r="U15" s="422" t="s">
        <v>277</v>
      </c>
      <c r="V15" s="780" t="s">
        <v>222</v>
      </c>
      <c r="W15" s="780"/>
      <c r="X15" s="780"/>
      <c r="AA15" s="423" t="s">
        <v>278</v>
      </c>
      <c r="AB15" s="792" t="s">
        <v>279</v>
      </c>
      <c r="AC15" s="793" t="s">
        <v>280</v>
      </c>
    </row>
    <row r="16" spans="1:29" s="24" customFormat="1" ht="12.75" customHeight="1">
      <c r="A16" s="51" t="s">
        <v>0</v>
      </c>
      <c r="B16" s="51" t="s">
        <v>1</v>
      </c>
      <c r="C16" s="193" t="s">
        <v>281</v>
      </c>
      <c r="D16" s="191">
        <v>1</v>
      </c>
      <c r="E16" s="185" t="s">
        <v>52</v>
      </c>
      <c r="F16" s="44">
        <v>1.27</v>
      </c>
      <c r="G16" s="42" t="s">
        <v>282</v>
      </c>
      <c r="H16" s="42" t="s">
        <v>283</v>
      </c>
      <c r="I16" s="777" t="s">
        <v>135</v>
      </c>
      <c r="J16" s="778" t="s">
        <v>284</v>
      </c>
      <c r="K16" s="1064">
        <v>0.17899999999999999</v>
      </c>
      <c r="L16" s="46" t="s">
        <v>285</v>
      </c>
      <c r="M16" s="185" t="s">
        <v>286</v>
      </c>
      <c r="N16" s="787" t="str">
        <f>L16</f>
        <v>Biw</v>
      </c>
      <c r="O16" s="44">
        <v>0</v>
      </c>
      <c r="P16" s="778" t="s">
        <v>183</v>
      </c>
      <c r="Q16" s="784">
        <v>1</v>
      </c>
      <c r="R16" s="778" t="s">
        <v>287</v>
      </c>
      <c r="S16" s="784">
        <v>90</v>
      </c>
      <c r="T16" s="778" t="s">
        <v>288</v>
      </c>
      <c r="U16" s="187">
        <v>2.65</v>
      </c>
      <c r="V16" s="780">
        <v>379</v>
      </c>
      <c r="W16" s="780"/>
      <c r="X16" s="785">
        <f t="shared" ref="X16:X21" si="0">$V16/230/9.6*100/7.8</f>
        <v>2.2006224451876628</v>
      </c>
      <c r="AA16" s="42" t="s">
        <v>126</v>
      </c>
      <c r="AB16" s="794">
        <v>1</v>
      </c>
      <c r="AC16" s="795" t="s">
        <v>289</v>
      </c>
    </row>
    <row r="17" spans="1:29" s="24" customFormat="1" ht="12.75" customHeight="1">
      <c r="A17" s="51"/>
      <c r="B17" s="51" t="s">
        <v>290</v>
      </c>
      <c r="C17" s="193" t="s">
        <v>291</v>
      </c>
      <c r="D17" s="191">
        <v>0</v>
      </c>
      <c r="E17" s="185" t="s">
        <v>59</v>
      </c>
      <c r="F17" s="44">
        <v>1.27</v>
      </c>
      <c r="G17" s="42" t="s">
        <v>292</v>
      </c>
      <c r="H17" s="42" t="s">
        <v>17</v>
      </c>
      <c r="I17" s="777" t="s">
        <v>138</v>
      </c>
      <c r="J17" s="778" t="s">
        <v>293</v>
      </c>
      <c r="K17" s="1064">
        <v>4.9000000000000002E-2</v>
      </c>
      <c r="L17" s="46" t="s">
        <v>294</v>
      </c>
      <c r="M17" s="185" t="s">
        <v>295</v>
      </c>
      <c r="N17" s="787" t="str">
        <f t="shared" ref="N17:N23" si="1">L17</f>
        <v>Camp</v>
      </c>
      <c r="O17" s="44">
        <v>4.5</v>
      </c>
      <c r="P17" s="778"/>
      <c r="Q17" s="784"/>
      <c r="R17" s="778" t="s">
        <v>296</v>
      </c>
      <c r="S17" s="784">
        <v>140</v>
      </c>
      <c r="T17" s="778" t="s">
        <v>23</v>
      </c>
      <c r="U17" s="187">
        <v>2.3199999999999998</v>
      </c>
      <c r="V17" s="780">
        <v>350</v>
      </c>
      <c r="W17" s="780" t="s">
        <v>15</v>
      </c>
      <c r="X17" s="785">
        <f t="shared" si="0"/>
        <v>2.0322370865849129</v>
      </c>
      <c r="AA17" s="42" t="s">
        <v>44</v>
      </c>
      <c r="AB17" s="794">
        <v>2</v>
      </c>
      <c r="AC17" s="795" t="s">
        <v>297</v>
      </c>
    </row>
    <row r="18" spans="1:29" s="24" customFormat="1" ht="12.75" customHeight="1">
      <c r="A18" s="51"/>
      <c r="B18" s="51" t="s">
        <v>298</v>
      </c>
      <c r="C18" s="196" t="s">
        <v>299</v>
      </c>
      <c r="D18" s="191" t="s">
        <v>300</v>
      </c>
      <c r="E18" s="185" t="s">
        <v>67</v>
      </c>
      <c r="F18" s="44">
        <v>1.877</v>
      </c>
      <c r="G18" s="42" t="s">
        <v>132</v>
      </c>
      <c r="H18" s="42" t="s">
        <v>301</v>
      </c>
      <c r="I18" s="777" t="s">
        <v>140</v>
      </c>
      <c r="J18" s="778" t="s">
        <v>302</v>
      </c>
      <c r="K18" s="1064">
        <v>0.23200000000000001</v>
      </c>
      <c r="L18" s="46" t="s">
        <v>303</v>
      </c>
      <c r="M18" s="185" t="s">
        <v>190</v>
      </c>
      <c r="N18" s="787" t="str">
        <f t="shared" si="1"/>
        <v>DAV</v>
      </c>
      <c r="O18" s="44">
        <v>3.1</v>
      </c>
      <c r="P18" s="778"/>
      <c r="Q18" s="784"/>
      <c r="R18" s="778" t="s">
        <v>304</v>
      </c>
      <c r="S18" s="784">
        <v>190</v>
      </c>
      <c r="T18" s="778" t="s">
        <v>305</v>
      </c>
      <c r="U18" s="187">
        <v>1.79</v>
      </c>
      <c r="V18" s="780">
        <v>100</v>
      </c>
      <c r="W18" s="780" t="s">
        <v>15</v>
      </c>
      <c r="X18" s="785">
        <f t="shared" si="0"/>
        <v>0.58063916759568934</v>
      </c>
      <c r="AA18" s="42" t="s">
        <v>306</v>
      </c>
      <c r="AB18" s="794">
        <v>3</v>
      </c>
      <c r="AC18" s="795" t="s">
        <v>307</v>
      </c>
    </row>
    <row r="19" spans="1:29" s="24" customFormat="1" ht="12.75" customHeight="1">
      <c r="A19" s="51"/>
      <c r="B19" s="51" t="s">
        <v>308</v>
      </c>
      <c r="C19" s="193" t="s">
        <v>309</v>
      </c>
      <c r="D19" s="191"/>
      <c r="E19" s="185"/>
      <c r="F19" s="44"/>
      <c r="G19" s="42" t="s">
        <v>310</v>
      </c>
      <c r="H19" s="42" t="s">
        <v>311</v>
      </c>
      <c r="I19" s="777" t="s">
        <v>142</v>
      </c>
      <c r="J19" s="778" t="s">
        <v>312</v>
      </c>
      <c r="K19" s="1064">
        <v>0.17899999999999999</v>
      </c>
      <c r="L19" s="46" t="s">
        <v>313</v>
      </c>
      <c r="M19" s="185" t="s">
        <v>30</v>
      </c>
      <c r="N19" s="787" t="str">
        <f t="shared" si="1"/>
        <v>Hüt</v>
      </c>
      <c r="O19" s="44">
        <v>4</v>
      </c>
      <c r="P19" s="778"/>
      <c r="Q19" s="784"/>
      <c r="R19" s="778"/>
      <c r="S19" s="784"/>
      <c r="T19" s="778" t="s">
        <v>314</v>
      </c>
      <c r="U19" s="187">
        <v>1.63</v>
      </c>
      <c r="V19" s="780">
        <v>100</v>
      </c>
      <c r="W19" s="780" t="s">
        <v>15</v>
      </c>
      <c r="X19" s="785">
        <f t="shared" si="0"/>
        <v>0.58063916759568934</v>
      </c>
      <c r="AA19" s="42" t="s">
        <v>315</v>
      </c>
      <c r="AB19" s="794">
        <v>4</v>
      </c>
      <c r="AC19" s="795" t="s">
        <v>316</v>
      </c>
    </row>
    <row r="20" spans="1:29" s="24" customFormat="1" ht="12.75" customHeight="1">
      <c r="A20" s="51"/>
      <c r="B20" s="51" t="s">
        <v>317</v>
      </c>
      <c r="C20" s="193" t="s">
        <v>318</v>
      </c>
      <c r="D20" s="191"/>
      <c r="E20" s="185"/>
      <c r="F20" s="44"/>
      <c r="G20" s="42" t="s">
        <v>319</v>
      </c>
      <c r="H20" s="42" t="s">
        <v>320</v>
      </c>
      <c r="I20" s="777" t="s">
        <v>144</v>
      </c>
      <c r="J20" s="778" t="s">
        <v>25</v>
      </c>
      <c r="K20" s="1064">
        <v>0</v>
      </c>
      <c r="L20" s="46" t="s">
        <v>321</v>
      </c>
      <c r="M20" s="185" t="s">
        <v>194</v>
      </c>
      <c r="N20" s="787" t="str">
        <f t="shared" si="1"/>
        <v>Hot2</v>
      </c>
      <c r="O20" s="44">
        <v>6.7</v>
      </c>
      <c r="P20" s="778"/>
      <c r="Q20" s="784"/>
      <c r="R20" s="778"/>
      <c r="S20" s="784"/>
      <c r="T20" s="778" t="s">
        <v>24</v>
      </c>
      <c r="U20" s="785">
        <f t="shared" ref="U20:U21" si="2">V20/230/9.6*100/7.8</f>
        <v>9.2902266815310289E-2</v>
      </c>
      <c r="V20" s="780">
        <v>16</v>
      </c>
      <c r="W20" s="780"/>
      <c r="X20" s="785">
        <f t="shared" si="0"/>
        <v>9.2902266815310289E-2</v>
      </c>
      <c r="AA20" s="42" t="s">
        <v>322</v>
      </c>
      <c r="AB20" s="794">
        <v>5</v>
      </c>
      <c r="AC20" s="795" t="s">
        <v>112</v>
      </c>
    </row>
    <row r="21" spans="1:29" s="24" customFormat="1" ht="12.75" customHeight="1">
      <c r="A21" s="51"/>
      <c r="B21" s="51" t="s">
        <v>323</v>
      </c>
      <c r="C21" s="193" t="s">
        <v>324</v>
      </c>
      <c r="D21" s="191"/>
      <c r="E21" s="185"/>
      <c r="F21" s="44"/>
      <c r="G21" s="42"/>
      <c r="H21" s="42" t="s">
        <v>104</v>
      </c>
      <c r="I21" s="777" t="s">
        <v>146</v>
      </c>
      <c r="J21" s="778" t="s">
        <v>325</v>
      </c>
      <c r="K21" s="1064">
        <v>0</v>
      </c>
      <c r="L21" s="46" t="s">
        <v>28</v>
      </c>
      <c r="M21" s="185" t="s">
        <v>195</v>
      </c>
      <c r="N21" s="787" t="str">
        <f t="shared" si="1"/>
        <v>Hot4</v>
      </c>
      <c r="O21" s="44">
        <v>16.8</v>
      </c>
      <c r="P21" s="778"/>
      <c r="Q21" s="784"/>
      <c r="R21" s="778"/>
      <c r="S21" s="784"/>
      <c r="T21" s="778" t="s">
        <v>326</v>
      </c>
      <c r="U21" s="785">
        <f t="shared" si="2"/>
        <v>1.3993403939056113</v>
      </c>
      <c r="V21" s="780">
        <v>241</v>
      </c>
      <c r="W21" s="780"/>
      <c r="X21" s="785">
        <f t="shared" si="0"/>
        <v>1.3993403939056113</v>
      </c>
      <c r="AA21" s="42" t="s">
        <v>327</v>
      </c>
      <c r="AB21" s="794">
        <v>6</v>
      </c>
      <c r="AC21" s="795" t="s">
        <v>328</v>
      </c>
    </row>
    <row r="22" spans="1:29" s="24" customFormat="1" ht="12.75" customHeight="1">
      <c r="A22" s="51"/>
      <c r="B22" s="51" t="s">
        <v>329</v>
      </c>
      <c r="C22" s="193" t="s">
        <v>330</v>
      </c>
      <c r="D22" s="191"/>
      <c r="E22" s="185"/>
      <c r="F22" s="44"/>
      <c r="G22" s="42"/>
      <c r="H22" s="42" t="s">
        <v>331</v>
      </c>
      <c r="I22" s="777" t="s">
        <v>149</v>
      </c>
      <c r="J22" s="779" t="s">
        <v>149</v>
      </c>
      <c r="K22" s="1065">
        <v>4.7E-2</v>
      </c>
      <c r="L22" s="46" t="s">
        <v>332</v>
      </c>
      <c r="M22" s="185" t="s">
        <v>196</v>
      </c>
      <c r="N22" s="787" t="str">
        <f t="shared" si="1"/>
        <v>Hot5</v>
      </c>
      <c r="O22" s="44">
        <v>30.3</v>
      </c>
      <c r="P22" s="778"/>
      <c r="Q22" s="784"/>
      <c r="R22" s="778"/>
      <c r="S22" s="784"/>
      <c r="T22" s="778" t="s">
        <v>22</v>
      </c>
      <c r="U22" s="187">
        <v>2.65</v>
      </c>
      <c r="V22" s="780">
        <v>134</v>
      </c>
      <c r="W22" s="780" t="s">
        <v>15</v>
      </c>
      <c r="X22" s="187">
        <v>2.2000000000000002</v>
      </c>
      <c r="AA22" s="42" t="s">
        <v>333</v>
      </c>
      <c r="AB22" s="794">
        <v>7</v>
      </c>
      <c r="AC22" s="795" t="s">
        <v>334</v>
      </c>
    </row>
    <row r="23" spans="1:29" s="24" customFormat="1" ht="12.75" customHeight="1">
      <c r="A23" s="51"/>
      <c r="B23" s="51" t="s">
        <v>335</v>
      </c>
      <c r="C23" s="193" t="s">
        <v>336</v>
      </c>
      <c r="D23" s="191"/>
      <c r="E23" s="185"/>
      <c r="F23" s="44"/>
      <c r="G23" s="42"/>
      <c r="H23" s="42" t="s">
        <v>337</v>
      </c>
      <c r="I23" s="777" t="s">
        <v>151</v>
      </c>
      <c r="J23" s="778" t="s">
        <v>21</v>
      </c>
      <c r="K23" s="1065">
        <v>4.7E-2</v>
      </c>
      <c r="L23" s="46">
        <v>0</v>
      </c>
      <c r="M23" s="185" t="s">
        <v>286</v>
      </c>
      <c r="N23" s="787">
        <f t="shared" si="1"/>
        <v>0</v>
      </c>
      <c r="O23" s="44">
        <v>0</v>
      </c>
      <c r="P23" s="778"/>
      <c r="Q23" s="784"/>
      <c r="R23" s="778"/>
      <c r="S23" s="784"/>
      <c r="T23" s="778" t="s">
        <v>338</v>
      </c>
      <c r="U23" s="187">
        <v>2.3199999999999998</v>
      </c>
      <c r="V23" s="780">
        <v>350</v>
      </c>
      <c r="W23" s="780" t="s">
        <v>15</v>
      </c>
      <c r="X23" s="785">
        <f>$V23/230/9.6*100/7.8</f>
        <v>2.0322370865849129</v>
      </c>
      <c r="AA23" s="42" t="s">
        <v>339</v>
      </c>
      <c r="AB23" s="794">
        <v>8</v>
      </c>
      <c r="AC23" s="795" t="s">
        <v>340</v>
      </c>
    </row>
    <row r="24" spans="1:29" s="24" customFormat="1" ht="12.75" customHeight="1">
      <c r="A24" s="51"/>
      <c r="B24" s="51" t="s">
        <v>341</v>
      </c>
      <c r="C24" s="193" t="s">
        <v>342</v>
      </c>
      <c r="D24" s="191"/>
      <c r="E24" s="185"/>
      <c r="F24" s="44"/>
      <c r="G24" s="42"/>
      <c r="H24" s="42" t="s">
        <v>343</v>
      </c>
      <c r="I24" s="777" t="s">
        <v>153</v>
      </c>
      <c r="J24" s="778" t="s">
        <v>344</v>
      </c>
      <c r="K24" s="1064">
        <v>3.5000000000000003E-2</v>
      </c>
      <c r="L24" s="46"/>
      <c r="M24" s="185"/>
      <c r="N24" s="185"/>
      <c r="O24" s="44"/>
      <c r="P24" s="778"/>
      <c r="Q24" s="784"/>
      <c r="R24" s="778"/>
      <c r="S24" s="784"/>
      <c r="T24" s="778" t="s">
        <v>345</v>
      </c>
      <c r="U24" s="187">
        <v>2.65</v>
      </c>
      <c r="V24" s="780"/>
      <c r="W24" s="780"/>
      <c r="X24" s="785">
        <f>$V24/230/9.6*100/7.8</f>
        <v>0</v>
      </c>
      <c r="AA24" s="42" t="s">
        <v>346</v>
      </c>
      <c r="AB24" s="794">
        <v>9</v>
      </c>
      <c r="AC24" s="795" t="s">
        <v>347</v>
      </c>
    </row>
    <row r="25" spans="1:29" s="24" customFormat="1" ht="12.75" customHeight="1">
      <c r="A25" s="51"/>
      <c r="B25" s="51" t="s">
        <v>348</v>
      </c>
      <c r="C25" s="193" t="s">
        <v>349</v>
      </c>
      <c r="D25" s="191"/>
      <c r="E25" s="185"/>
      <c r="F25" s="44"/>
      <c r="G25" s="42"/>
      <c r="H25" s="42" t="s">
        <v>350</v>
      </c>
      <c r="I25" s="777" t="s">
        <v>155</v>
      </c>
      <c r="J25" s="780" t="s">
        <v>351</v>
      </c>
      <c r="K25" s="1064">
        <v>4.2000000000000003E-2</v>
      </c>
      <c r="L25" s="46"/>
      <c r="M25" s="185"/>
      <c r="N25" s="185"/>
      <c r="O25" s="45"/>
      <c r="P25" s="778"/>
      <c r="Q25" s="784"/>
      <c r="R25" s="778"/>
      <c r="S25" s="784"/>
      <c r="T25" s="778" t="s">
        <v>325</v>
      </c>
      <c r="U25" s="785">
        <f>$V25/230/9.6*100/7.8</f>
        <v>0</v>
      </c>
      <c r="V25" s="780"/>
      <c r="W25" s="780"/>
      <c r="X25" s="785">
        <f>$V25/230/9.6*100/7.8</f>
        <v>0</v>
      </c>
      <c r="AA25" s="42" t="s">
        <v>352</v>
      </c>
      <c r="AB25" s="794">
        <v>10</v>
      </c>
      <c r="AC25" s="795" t="s">
        <v>353</v>
      </c>
    </row>
    <row r="26" spans="1:29" s="24" customFormat="1" ht="12.75" customHeight="1">
      <c r="A26" s="51"/>
      <c r="B26" s="51" t="s">
        <v>354</v>
      </c>
      <c r="C26" s="193" t="s">
        <v>355</v>
      </c>
      <c r="D26" s="191"/>
      <c r="E26" s="185"/>
      <c r="F26" s="44"/>
      <c r="G26" s="42"/>
      <c r="H26" s="42" t="s">
        <v>356</v>
      </c>
      <c r="I26" s="781" t="s">
        <v>179</v>
      </c>
      <c r="J26" s="780" t="s">
        <v>284</v>
      </c>
      <c r="K26" s="1064">
        <v>0.17899999999999999</v>
      </c>
      <c r="L26" s="46"/>
      <c r="M26" s="185"/>
      <c r="N26" s="185"/>
      <c r="O26" s="44"/>
      <c r="P26" s="778"/>
      <c r="Q26" s="784"/>
      <c r="R26" s="778"/>
      <c r="S26" s="784"/>
      <c r="T26" s="778" t="s">
        <v>25</v>
      </c>
      <c r="U26" s="785">
        <f>$V26/230/9.6*100/7.8</f>
        <v>0</v>
      </c>
      <c r="V26" s="780"/>
      <c r="W26" s="780"/>
      <c r="X26" s="785">
        <f>$V26/230/9.6*100/7.8</f>
        <v>0</v>
      </c>
      <c r="AA26" s="42" t="s">
        <v>357</v>
      </c>
      <c r="AB26" s="794">
        <v>11</v>
      </c>
      <c r="AC26" s="795" t="s">
        <v>358</v>
      </c>
    </row>
    <row r="27" spans="1:29" s="24" customFormat="1" ht="12.75" customHeight="1">
      <c r="A27" s="51"/>
      <c r="B27" s="51" t="s">
        <v>359</v>
      </c>
      <c r="C27" s="193" t="s">
        <v>360</v>
      </c>
      <c r="D27" s="191"/>
      <c r="E27" s="185"/>
      <c r="F27" s="44"/>
      <c r="G27" s="42"/>
      <c r="H27" s="42" t="s">
        <v>361</v>
      </c>
      <c r="I27" s="781"/>
      <c r="J27" s="780"/>
      <c r="K27" s="784"/>
      <c r="L27" s="46"/>
      <c r="M27" s="185"/>
      <c r="N27" s="185"/>
      <c r="O27" s="44"/>
      <c r="P27" s="778"/>
      <c r="Q27" s="784"/>
      <c r="R27" s="778"/>
      <c r="S27" s="784"/>
      <c r="T27" s="778" t="s">
        <v>351</v>
      </c>
      <c r="U27" s="187">
        <v>2.65</v>
      </c>
      <c r="V27" s="780"/>
      <c r="W27" s="780"/>
      <c r="X27" s="187">
        <v>2.2000000000000002</v>
      </c>
      <c r="AA27" s="42" t="s">
        <v>362</v>
      </c>
      <c r="AB27" s="796">
        <v>12</v>
      </c>
      <c r="AC27" s="797" t="s">
        <v>363</v>
      </c>
    </row>
    <row r="28" spans="1:29" s="24" customFormat="1" ht="12.75" customHeight="1">
      <c r="A28" s="51"/>
      <c r="B28" s="51" t="s">
        <v>364</v>
      </c>
      <c r="C28" s="193" t="s">
        <v>365</v>
      </c>
      <c r="D28" s="51"/>
      <c r="E28" s="189"/>
      <c r="F28" s="187"/>
      <c r="G28" s="42"/>
      <c r="H28" s="42" t="s">
        <v>366</v>
      </c>
      <c r="I28" s="781"/>
      <c r="J28" s="780"/>
      <c r="K28" s="784"/>
      <c r="L28" s="46"/>
      <c r="M28" s="185"/>
      <c r="N28" s="185"/>
      <c r="O28" s="44"/>
      <c r="P28" s="189"/>
      <c r="Q28" s="187"/>
      <c r="R28" s="189"/>
      <c r="S28" s="187"/>
      <c r="T28" s="189" t="s">
        <v>149</v>
      </c>
      <c r="U28" s="187">
        <v>2</v>
      </c>
      <c r="V28" s="780"/>
      <c r="W28" s="780"/>
      <c r="X28" s="187">
        <v>2</v>
      </c>
      <c r="AA28" s="42" t="s">
        <v>367</v>
      </c>
      <c r="AB28" s="791"/>
      <c r="AC28" s="791"/>
    </row>
    <row r="29" spans="1:29" s="24" customFormat="1" ht="12.75" customHeight="1">
      <c r="A29" s="51"/>
      <c r="B29" s="51" t="s">
        <v>368</v>
      </c>
      <c r="C29" s="193" t="s">
        <v>369</v>
      </c>
      <c r="D29" s="51"/>
      <c r="E29" s="189"/>
      <c r="F29" s="187"/>
      <c r="G29" s="42"/>
      <c r="H29" s="42" t="s">
        <v>370</v>
      </c>
      <c r="I29" s="781"/>
      <c r="J29" s="780"/>
      <c r="K29" s="784"/>
      <c r="L29" s="46"/>
      <c r="M29" s="185"/>
      <c r="N29" s="185"/>
      <c r="O29" s="44"/>
      <c r="P29" s="189"/>
      <c r="Q29" s="187"/>
      <c r="R29" s="189"/>
      <c r="S29" s="187"/>
      <c r="T29" s="189" t="s">
        <v>21</v>
      </c>
      <c r="U29" s="187">
        <v>2</v>
      </c>
      <c r="V29" s="780"/>
      <c r="W29" s="780"/>
      <c r="X29" s="187">
        <v>2.2000000000000002</v>
      </c>
      <c r="AA29" s="42" t="s">
        <v>371</v>
      </c>
      <c r="AB29" s="42"/>
      <c r="AC29" s="42"/>
    </row>
    <row r="30" spans="1:29" s="24" customFormat="1" ht="12.75" customHeight="1">
      <c r="A30" s="51"/>
      <c r="B30" s="51" t="s">
        <v>372</v>
      </c>
      <c r="C30" s="193" t="s">
        <v>373</v>
      </c>
      <c r="D30" s="51"/>
      <c r="E30" s="189"/>
      <c r="F30" s="187"/>
      <c r="G30" s="42"/>
      <c r="H30" s="42" t="s">
        <v>374</v>
      </c>
      <c r="I30" s="781"/>
      <c r="J30" s="780"/>
      <c r="K30" s="784"/>
      <c r="L30" s="46"/>
      <c r="M30" s="185"/>
      <c r="N30" s="185"/>
      <c r="O30" s="44"/>
      <c r="P30" s="189"/>
      <c r="Q30" s="187"/>
      <c r="R30" s="189"/>
      <c r="S30" s="187"/>
      <c r="T30" s="189" t="s">
        <v>344</v>
      </c>
      <c r="U30" s="187">
        <v>2</v>
      </c>
      <c r="V30" s="780"/>
      <c r="W30" s="780"/>
      <c r="X30" s="780"/>
      <c r="AA30" s="42" t="s">
        <v>375</v>
      </c>
      <c r="AB30" s="42"/>
      <c r="AC30" s="42"/>
    </row>
    <row r="31" spans="1:29" s="24" customFormat="1" ht="12.75" customHeight="1">
      <c r="A31" s="51"/>
      <c r="B31" s="51"/>
      <c r="C31" s="51"/>
      <c r="D31" s="51"/>
      <c r="E31" s="189"/>
      <c r="F31" s="187"/>
      <c r="G31" s="42"/>
      <c r="H31" s="42" t="s">
        <v>376</v>
      </c>
      <c r="I31" s="781"/>
      <c r="J31" s="780"/>
      <c r="K31" s="784"/>
      <c r="L31" s="46"/>
      <c r="M31" s="185"/>
      <c r="N31" s="185"/>
      <c r="O31" s="44"/>
      <c r="P31" s="189"/>
      <c r="Q31" s="187"/>
      <c r="R31" s="189"/>
      <c r="S31" s="187"/>
      <c r="T31" s="189" t="s">
        <v>26</v>
      </c>
      <c r="U31" s="187">
        <v>2.65</v>
      </c>
      <c r="V31" s="780"/>
      <c r="W31" s="780"/>
      <c r="X31" s="780"/>
      <c r="AA31" s="42" t="s">
        <v>377</v>
      </c>
      <c r="AB31" s="42"/>
      <c r="AC31" s="42"/>
    </row>
    <row r="32" spans="1:29" s="24" customFormat="1" ht="12.75" customHeight="1">
      <c r="A32" s="51"/>
      <c r="B32" s="51"/>
      <c r="C32" s="51"/>
      <c r="D32" s="51"/>
      <c r="E32" s="189"/>
      <c r="F32" s="187"/>
      <c r="G32" s="42"/>
      <c r="H32" s="42" t="s">
        <v>378</v>
      </c>
      <c r="I32" s="781"/>
      <c r="J32" s="780"/>
      <c r="K32" s="784"/>
      <c r="L32" s="46"/>
      <c r="M32" s="185"/>
      <c r="N32" s="185"/>
      <c r="O32" s="44"/>
      <c r="P32" s="189"/>
      <c r="Q32" s="187"/>
      <c r="R32" s="189"/>
      <c r="S32" s="187"/>
      <c r="T32" s="189"/>
      <c r="U32" s="187"/>
      <c r="V32" s="780"/>
      <c r="W32" s="780"/>
      <c r="X32" s="780"/>
      <c r="AA32" s="42" t="s">
        <v>379</v>
      </c>
      <c r="AB32" s="42"/>
      <c r="AC32" s="42"/>
    </row>
    <row r="33" spans="1:29" s="24" customFormat="1" ht="12.75" customHeight="1">
      <c r="A33" s="51"/>
      <c r="B33" s="51"/>
      <c r="C33" s="51"/>
      <c r="D33" s="51"/>
      <c r="E33" s="189"/>
      <c r="F33" s="187"/>
      <c r="G33" s="42"/>
      <c r="H33" s="42" t="s">
        <v>380</v>
      </c>
      <c r="I33" s="781"/>
      <c r="J33" s="780"/>
      <c r="K33" s="784"/>
      <c r="L33" s="46"/>
      <c r="M33" s="185"/>
      <c r="N33" s="185"/>
      <c r="O33" s="44"/>
      <c r="P33" s="189"/>
      <c r="Q33" s="187"/>
      <c r="R33" s="189"/>
      <c r="S33" s="187"/>
      <c r="T33" s="189"/>
      <c r="U33" s="187"/>
      <c r="V33" s="780"/>
      <c r="W33" s="780"/>
      <c r="X33" s="780"/>
      <c r="AA33" s="42" t="s">
        <v>381</v>
      </c>
      <c r="AB33" s="42"/>
      <c r="AC33" s="42"/>
    </row>
    <row r="34" spans="1:29" s="24" customFormat="1" ht="12.75" customHeight="1">
      <c r="A34" s="51"/>
      <c r="B34" s="51"/>
      <c r="C34" s="51"/>
      <c r="D34" s="51"/>
      <c r="E34" s="189"/>
      <c r="F34" s="187"/>
      <c r="G34" s="42"/>
      <c r="H34" s="42" t="s">
        <v>382</v>
      </c>
      <c r="I34" s="781"/>
      <c r="J34" s="780"/>
      <c r="K34" s="784"/>
      <c r="L34" s="46"/>
      <c r="M34" s="185"/>
      <c r="N34" s="185"/>
      <c r="O34" s="44"/>
      <c r="P34" s="189"/>
      <c r="Q34" s="187"/>
      <c r="R34" s="189"/>
      <c r="S34" s="187"/>
      <c r="T34" s="189"/>
      <c r="U34" s="187"/>
      <c r="V34" s="780"/>
      <c r="W34" s="780"/>
      <c r="X34" s="780"/>
      <c r="AA34" s="42" t="s">
        <v>383</v>
      </c>
      <c r="AB34" s="42"/>
      <c r="AC34" s="42"/>
    </row>
    <row r="35" spans="1:29" s="24" customFormat="1" ht="12.75" customHeight="1">
      <c r="A35" s="51"/>
      <c r="B35" s="51"/>
      <c r="C35" s="51"/>
      <c r="D35" s="51"/>
      <c r="E35" s="189"/>
      <c r="F35" s="187"/>
      <c r="G35" s="42"/>
      <c r="H35" s="42" t="s">
        <v>384</v>
      </c>
      <c r="I35" s="781"/>
      <c r="J35" s="780"/>
      <c r="K35" s="784"/>
      <c r="L35" s="46"/>
      <c r="M35" s="185"/>
      <c r="N35" s="185"/>
      <c r="O35" s="44"/>
      <c r="P35" s="189"/>
      <c r="Q35" s="187"/>
      <c r="R35" s="189"/>
      <c r="S35" s="187"/>
      <c r="T35" s="189"/>
      <c r="U35" s="187"/>
      <c r="V35" s="780"/>
      <c r="W35" s="780"/>
      <c r="X35" s="780"/>
      <c r="AA35" s="42" t="s">
        <v>385</v>
      </c>
      <c r="AB35" s="42"/>
      <c r="AC35" s="42"/>
    </row>
    <row r="36" spans="1:29" s="24" customFormat="1" ht="12.75" customHeight="1">
      <c r="A36" s="52"/>
      <c r="B36" s="52"/>
      <c r="C36" s="52"/>
      <c r="D36" s="52"/>
      <c r="E36" s="190"/>
      <c r="F36" s="188"/>
      <c r="G36" s="43"/>
      <c r="H36" s="43"/>
      <c r="I36" s="782"/>
      <c r="J36" s="780"/>
      <c r="K36" s="1066"/>
      <c r="L36" s="49"/>
      <c r="M36" s="186"/>
      <c r="N36" s="186"/>
      <c r="O36" s="50"/>
      <c r="P36" s="190"/>
      <c r="Q36" s="188"/>
      <c r="R36" s="190"/>
      <c r="S36" s="188"/>
      <c r="T36" s="190"/>
      <c r="U36" s="188"/>
      <c r="V36" s="780"/>
      <c r="W36" s="780"/>
      <c r="X36" s="780"/>
      <c r="AA36" s="42" t="s">
        <v>386</v>
      </c>
      <c r="AB36" s="42"/>
      <c r="AC36" s="42"/>
    </row>
    <row r="37" spans="1:29" s="25" customFormat="1" ht="12.75" customHeight="1">
      <c r="G37" s="47"/>
      <c r="H37" s="47" t="str">
        <f>H16&amp;H17&amp;H18&amp;H19&amp;H20&amp;H21&amp;H22&amp;H23&amp;H24&amp;H25&amp;H26&amp;H27&amp;H28&amp;H29&amp;H30&amp;H31&amp;H32&amp;H33&amp;H34&amp;H35&amp;H36</f>
        <v>Hochtour(Berg-)WandernBergsteigenLeistungsbergsteigen(Sport-)KletternAlpinkletternHöhlenkletternKlettersteigBouldernMTBSkitourSkilaufSkilanglaufSchneeschuhbergsteigenFreerideSegelfliegen/ParagleitenSki-/KonditionsgymnastikWildwasserkajak/WassersportartenSonstigesKeine Sportart</v>
      </c>
      <c r="I37" s="1067" t="s">
        <v>387</v>
      </c>
      <c r="J37" s="1067" t="s">
        <v>387</v>
      </c>
      <c r="K37" s="47"/>
      <c r="L37" s="1067" t="s">
        <v>387</v>
      </c>
      <c r="M37" s="1067" t="s">
        <v>387</v>
      </c>
      <c r="O37" s="1068" t="s">
        <v>387</v>
      </c>
      <c r="P37" s="1067" t="s">
        <v>387</v>
      </c>
      <c r="AA37" s="42" t="s">
        <v>388</v>
      </c>
      <c r="AB37" s="42"/>
      <c r="AC37" s="42"/>
    </row>
    <row r="38" spans="1:29" ht="12.75" customHeight="1">
      <c r="J38" s="24"/>
      <c r="K38" s="409"/>
      <c r="L38" s="24"/>
      <c r="AA38" s="42" t="s">
        <v>389</v>
      </c>
      <c r="AB38" s="42"/>
      <c r="AC38" s="42"/>
    </row>
    <row r="39" spans="1:29" ht="12.75" customHeight="1">
      <c r="J39" s="24"/>
      <c r="K39" s="409"/>
      <c r="AA39" s="42" t="s">
        <v>390</v>
      </c>
      <c r="AB39" s="42"/>
      <c r="AC39" s="42"/>
    </row>
    <row r="40" spans="1:29" ht="12.75" customHeight="1">
      <c r="J40" s="24"/>
      <c r="K40" s="409"/>
      <c r="AA40" s="42" t="s">
        <v>391</v>
      </c>
      <c r="AB40" s="42"/>
      <c r="AC40" s="42"/>
    </row>
    <row r="41" spans="1:29" ht="12.75" customHeight="1">
      <c r="A41" s="492" t="s">
        <v>392</v>
      </c>
      <c r="B41" s="493"/>
      <c r="C41" s="496"/>
      <c r="D41" s="496"/>
      <c r="E41" s="496"/>
      <c r="F41" s="496"/>
      <c r="G41" s="497"/>
      <c r="J41" s="24"/>
      <c r="K41" s="409"/>
      <c r="AA41" s="42" t="s">
        <v>393</v>
      </c>
      <c r="AB41" s="42"/>
      <c r="AC41" s="42"/>
    </row>
    <row r="42" spans="1:29" ht="36.75" customHeight="1">
      <c r="A42" s="504" t="s">
        <v>394</v>
      </c>
      <c r="B42" s="495" t="s">
        <v>395</v>
      </c>
      <c r="C42" s="1119" t="s">
        <v>396</v>
      </c>
      <c r="D42" s="1120"/>
      <c r="E42" s="1120"/>
      <c r="F42" s="1120"/>
      <c r="G42" s="1121"/>
      <c r="J42" s="24"/>
      <c r="K42" s="409"/>
      <c r="AA42" s="42" t="s">
        <v>397</v>
      </c>
      <c r="AB42" s="42"/>
      <c r="AC42" s="42"/>
    </row>
    <row r="43" spans="1:29" ht="25.5" customHeight="1">
      <c r="A43" s="494" t="s">
        <v>398</v>
      </c>
      <c r="B43" s="495" t="s">
        <v>395</v>
      </c>
      <c r="C43" s="1119" t="s">
        <v>399</v>
      </c>
      <c r="D43" s="1120"/>
      <c r="E43" s="1120"/>
      <c r="F43" s="1120"/>
      <c r="G43" s="1121"/>
      <c r="J43" s="24"/>
      <c r="K43" s="409"/>
      <c r="AA43" s="518" t="s">
        <v>400</v>
      </c>
      <c r="AB43" s="518"/>
      <c r="AC43" s="518"/>
    </row>
    <row r="44" spans="1:29" ht="25.5" customHeight="1">
      <c r="A44" s="494" t="s">
        <v>401</v>
      </c>
      <c r="B44" s="495" t="s">
        <v>395</v>
      </c>
      <c r="C44" s="1119" t="s">
        <v>402</v>
      </c>
      <c r="D44" s="1120"/>
      <c r="E44" s="1120"/>
      <c r="F44" s="1120"/>
      <c r="G44" s="1121"/>
      <c r="J44" s="24"/>
      <c r="K44" s="409"/>
      <c r="AA44" s="518" t="s">
        <v>382</v>
      </c>
      <c r="AB44" s="518"/>
      <c r="AC44" s="518"/>
    </row>
    <row r="45" spans="1:29" ht="25.5" customHeight="1">
      <c r="A45" s="494" t="s">
        <v>403</v>
      </c>
      <c r="B45" s="495" t="s">
        <v>395</v>
      </c>
      <c r="C45" s="1119" t="s">
        <v>404</v>
      </c>
      <c r="D45" s="1120"/>
      <c r="E45" s="1120"/>
      <c r="F45" s="1120"/>
      <c r="G45" s="1121"/>
      <c r="J45" s="24"/>
      <c r="K45" s="409"/>
      <c r="AA45" s="42" t="s">
        <v>397</v>
      </c>
      <c r="AB45" s="42"/>
      <c r="AC45" s="42"/>
    </row>
    <row r="46" spans="1:29" ht="25.5" customHeight="1">
      <c r="A46" s="494" t="s">
        <v>405</v>
      </c>
      <c r="B46" s="495" t="s">
        <v>395</v>
      </c>
      <c r="C46" s="1119" t="s">
        <v>406</v>
      </c>
      <c r="D46" s="1120"/>
      <c r="E46" s="1120"/>
      <c r="F46" s="1120"/>
      <c r="G46" s="1121"/>
      <c r="J46" s="24"/>
      <c r="K46" s="409"/>
      <c r="AA46" s="518" t="s">
        <v>400</v>
      </c>
      <c r="AB46" s="518"/>
      <c r="AC46" s="518"/>
    </row>
    <row r="47" spans="1:29" ht="25.5" customHeight="1">
      <c r="A47" s="494" t="s">
        <v>407</v>
      </c>
      <c r="B47" s="495" t="s">
        <v>395</v>
      </c>
      <c r="C47" s="1119" t="s">
        <v>408</v>
      </c>
      <c r="D47" s="1120"/>
      <c r="E47" s="1120"/>
      <c r="F47" s="1120"/>
      <c r="G47" s="1121"/>
      <c r="J47" s="24"/>
      <c r="K47" s="409"/>
      <c r="AA47" s="519" t="s">
        <v>382</v>
      </c>
      <c r="AB47" s="519"/>
      <c r="AC47" s="519"/>
    </row>
    <row r="48" spans="1:29">
      <c r="A48" s="504" t="s">
        <v>409</v>
      </c>
      <c r="B48" s="783" t="s">
        <v>395</v>
      </c>
      <c r="C48" s="1122" t="s">
        <v>410</v>
      </c>
      <c r="D48" s="1122"/>
      <c r="E48" s="1122"/>
      <c r="F48" s="1122"/>
      <c r="G48" s="1123"/>
    </row>
    <row r="49" spans="1:7">
      <c r="A49" s="504" t="s">
        <v>411</v>
      </c>
      <c r="B49" s="783" t="s">
        <v>395</v>
      </c>
      <c r="C49" s="1122" t="s">
        <v>412</v>
      </c>
      <c r="D49" s="1122"/>
      <c r="E49" s="1122"/>
      <c r="F49" s="1122"/>
      <c r="G49" s="1123"/>
    </row>
    <row r="50" spans="1:7">
      <c r="A50" s="1063" t="s">
        <v>413</v>
      </c>
      <c r="B50" s="1063" t="s">
        <v>395</v>
      </c>
      <c r="C50" s="491" t="s">
        <v>414</v>
      </c>
      <c r="D50" s="491"/>
      <c r="E50" s="491"/>
      <c r="F50" s="491"/>
      <c r="G50" s="491"/>
    </row>
    <row r="51" spans="1:7">
      <c r="A51" s="1063" t="s">
        <v>82</v>
      </c>
      <c r="B51" s="490" t="s">
        <v>395</v>
      </c>
      <c r="C51" s="491" t="s">
        <v>415</v>
      </c>
      <c r="D51" s="491"/>
      <c r="E51" s="491"/>
      <c r="F51" s="491"/>
      <c r="G51" s="491"/>
    </row>
    <row r="52" spans="1:7">
      <c r="A52" s="490"/>
      <c r="B52" s="490"/>
      <c r="C52" s="491"/>
      <c r="D52" s="491"/>
      <c r="E52" s="491"/>
      <c r="F52" s="491"/>
      <c r="G52" s="491"/>
    </row>
    <row r="53" spans="1:7">
      <c r="A53" s="490"/>
      <c r="B53" s="490"/>
      <c r="C53" s="491"/>
      <c r="D53" s="491"/>
      <c r="E53" s="491"/>
      <c r="F53" s="491"/>
      <c r="G53" s="491"/>
    </row>
    <row r="54" spans="1:7">
      <c r="A54" s="490"/>
      <c r="B54" s="490"/>
      <c r="C54" s="489"/>
    </row>
    <row r="55" spans="1:7">
      <c r="A55" s="490"/>
      <c r="B55" s="490"/>
      <c r="C55" s="489"/>
    </row>
    <row r="56" spans="1:7">
      <c r="A56" s="490"/>
      <c r="B56" s="490"/>
      <c r="C56" s="489"/>
    </row>
    <row r="57" spans="1:7">
      <c r="A57" s="490"/>
      <c r="B57" s="490"/>
      <c r="C57" s="489"/>
    </row>
    <row r="58" spans="1:7">
      <c r="A58" s="490"/>
      <c r="B58" s="490"/>
      <c r="C58" s="489"/>
    </row>
    <row r="59" spans="1:7">
      <c r="A59" s="490"/>
      <c r="B59" s="490"/>
      <c r="C59" s="489"/>
    </row>
    <row r="60" spans="1:7">
      <c r="A60" s="490"/>
      <c r="B60" s="490"/>
      <c r="C60" s="489"/>
    </row>
    <row r="61" spans="1:7">
      <c r="A61" s="490"/>
      <c r="B61" s="490"/>
      <c r="C61" s="489"/>
    </row>
    <row r="62" spans="1:7">
      <c r="A62" s="490"/>
      <c r="B62" s="490"/>
      <c r="C62" s="489"/>
    </row>
    <row r="63" spans="1:7">
      <c r="C63" s="489"/>
    </row>
    <row r="64" spans="1:7">
      <c r="C64" s="489"/>
    </row>
    <row r="65" spans="3:3">
      <c r="C65" s="489"/>
    </row>
    <row r="66" spans="3:3">
      <c r="C66" s="489"/>
    </row>
    <row r="67" spans="3:3">
      <c r="C67" s="489"/>
    </row>
    <row r="68" spans="3:3">
      <c r="C68" s="489"/>
    </row>
    <row r="69" spans="3:3">
      <c r="C69" s="489"/>
    </row>
    <row r="70" spans="3:3">
      <c r="C70" s="489"/>
    </row>
    <row r="71" spans="3:3">
      <c r="C71" s="489"/>
    </row>
    <row r="72" spans="3:3">
      <c r="C72" s="489"/>
    </row>
    <row r="73" spans="3:3">
      <c r="C73" s="489"/>
    </row>
    <row r="74" spans="3:3">
      <c r="C74" s="489"/>
    </row>
    <row r="75" spans="3:3">
      <c r="C75" s="489"/>
    </row>
    <row r="76" spans="3:3">
      <c r="C76" s="489"/>
    </row>
    <row r="77" spans="3:3">
      <c r="C77" s="489"/>
    </row>
    <row r="78" spans="3:3">
      <c r="C78" s="489"/>
    </row>
    <row r="79" spans="3:3">
      <c r="C79" s="489"/>
    </row>
    <row r="80" spans="3:3">
      <c r="C80" s="489"/>
    </row>
    <row r="81" spans="3:3">
      <c r="C81" s="489"/>
    </row>
    <row r="82" spans="3:3">
      <c r="C82" s="489"/>
    </row>
    <row r="83" spans="3:3">
      <c r="C83" s="489"/>
    </row>
    <row r="84" spans="3:3">
      <c r="C84" s="489"/>
    </row>
    <row r="85" spans="3:3">
      <c r="C85" s="489"/>
    </row>
    <row r="86" spans="3:3">
      <c r="C86" s="489"/>
    </row>
    <row r="87" spans="3:3">
      <c r="C87" s="489"/>
    </row>
    <row r="88" spans="3:3">
      <c r="C88" s="489"/>
    </row>
    <row r="89" spans="3:3">
      <c r="C89" s="489"/>
    </row>
    <row r="90" spans="3:3">
      <c r="C90" s="489"/>
    </row>
    <row r="91" spans="3:3">
      <c r="C91" s="489"/>
    </row>
    <row r="92" spans="3:3">
      <c r="C92" s="489"/>
    </row>
    <row r="93" spans="3:3">
      <c r="C93" s="489"/>
    </row>
    <row r="94" spans="3:3">
      <c r="C94" s="489"/>
    </row>
    <row r="95" spans="3:3">
      <c r="C95" s="489"/>
    </row>
    <row r="96" spans="3:3">
      <c r="C96" s="489"/>
    </row>
    <row r="97" spans="3:3">
      <c r="C97" s="489"/>
    </row>
    <row r="98" spans="3:3">
      <c r="C98" s="489"/>
    </row>
    <row r="99" spans="3:3">
      <c r="C99" s="489"/>
    </row>
    <row r="100" spans="3:3">
      <c r="C100" s="489"/>
    </row>
    <row r="101" spans="3:3">
      <c r="C101" s="489"/>
    </row>
    <row r="102" spans="3:3">
      <c r="C102" s="489"/>
    </row>
    <row r="103" spans="3:3">
      <c r="C103" s="489"/>
    </row>
    <row r="104" spans="3:3">
      <c r="C104" s="489"/>
    </row>
    <row r="105" spans="3:3">
      <c r="C105" s="489"/>
    </row>
    <row r="106" spans="3:3">
      <c r="C106" s="489"/>
    </row>
    <row r="107" spans="3:3">
      <c r="C107" s="489"/>
    </row>
    <row r="108" spans="3:3">
      <c r="C108" s="489"/>
    </row>
    <row r="109" spans="3:3">
      <c r="C109" s="489"/>
    </row>
    <row r="110" spans="3:3">
      <c r="C110" s="489"/>
    </row>
    <row r="111" spans="3:3">
      <c r="C111" s="489"/>
    </row>
    <row r="112" spans="3:3">
      <c r="C112" s="489"/>
    </row>
    <row r="113" spans="3:3">
      <c r="C113" s="489"/>
    </row>
    <row r="114" spans="3:3">
      <c r="C114" s="489"/>
    </row>
    <row r="115" spans="3:3">
      <c r="C115" s="489"/>
    </row>
    <row r="116" spans="3:3">
      <c r="C116" s="489"/>
    </row>
    <row r="117" spans="3:3">
      <c r="C117" s="489"/>
    </row>
    <row r="118" spans="3:3">
      <c r="C118" s="489"/>
    </row>
    <row r="119" spans="3:3">
      <c r="C119" s="489"/>
    </row>
    <row r="120" spans="3:3">
      <c r="C120" s="489"/>
    </row>
    <row r="121" spans="3:3">
      <c r="C121" s="489"/>
    </row>
    <row r="122" spans="3:3">
      <c r="C122" s="489"/>
    </row>
    <row r="123" spans="3:3">
      <c r="C123" s="489"/>
    </row>
    <row r="124" spans="3:3">
      <c r="C124" s="489"/>
    </row>
    <row r="125" spans="3:3">
      <c r="C125" s="489"/>
    </row>
    <row r="126" spans="3:3">
      <c r="C126" s="489"/>
    </row>
    <row r="127" spans="3:3">
      <c r="C127" s="489"/>
    </row>
    <row r="128" spans="3:3">
      <c r="C128" s="489"/>
    </row>
    <row r="129" spans="3:3">
      <c r="C129" s="489"/>
    </row>
    <row r="130" spans="3:3">
      <c r="C130" s="489"/>
    </row>
    <row r="131" spans="3:3">
      <c r="C131" s="489"/>
    </row>
    <row r="132" spans="3:3">
      <c r="C132" s="489"/>
    </row>
    <row r="133" spans="3:3">
      <c r="C133" s="489"/>
    </row>
    <row r="134" spans="3:3">
      <c r="C134" s="489"/>
    </row>
    <row r="135" spans="3:3">
      <c r="C135" s="489"/>
    </row>
    <row r="136" spans="3:3">
      <c r="C136" s="489"/>
    </row>
    <row r="137" spans="3:3">
      <c r="C137" s="489"/>
    </row>
    <row r="138" spans="3:3">
      <c r="C138" s="489"/>
    </row>
    <row r="139" spans="3:3">
      <c r="C139" s="489"/>
    </row>
    <row r="140" spans="3:3">
      <c r="C140" s="489"/>
    </row>
    <row r="141" spans="3:3">
      <c r="C141" s="489"/>
    </row>
    <row r="142" spans="3:3">
      <c r="C142" s="489"/>
    </row>
    <row r="143" spans="3:3">
      <c r="C143" s="489"/>
    </row>
    <row r="144" spans="3:3">
      <c r="C144" s="489"/>
    </row>
    <row r="145" spans="3:3">
      <c r="C145" s="489"/>
    </row>
    <row r="146" spans="3:3">
      <c r="C146" s="489"/>
    </row>
    <row r="147" spans="3:3">
      <c r="C147" s="489"/>
    </row>
    <row r="148" spans="3:3">
      <c r="C148" s="489"/>
    </row>
    <row r="149" spans="3:3">
      <c r="C149" s="489"/>
    </row>
    <row r="150" spans="3:3">
      <c r="C150" s="489"/>
    </row>
    <row r="151" spans="3:3">
      <c r="C151" s="489"/>
    </row>
    <row r="152" spans="3:3">
      <c r="C152" s="489"/>
    </row>
    <row r="153" spans="3:3">
      <c r="C153" s="489"/>
    </row>
    <row r="154" spans="3:3">
      <c r="C154" s="489"/>
    </row>
    <row r="155" spans="3:3">
      <c r="C155" s="489"/>
    </row>
    <row r="156" spans="3:3">
      <c r="C156" s="489"/>
    </row>
    <row r="157" spans="3:3">
      <c r="C157" s="489"/>
    </row>
    <row r="158" spans="3:3">
      <c r="C158" s="489"/>
    </row>
    <row r="159" spans="3:3">
      <c r="C159" s="489"/>
    </row>
    <row r="160" spans="3:3">
      <c r="C160" s="489"/>
    </row>
    <row r="161" spans="3:3">
      <c r="C161" s="489"/>
    </row>
    <row r="162" spans="3:3">
      <c r="C162" s="489"/>
    </row>
    <row r="163" spans="3:3">
      <c r="C163" s="489"/>
    </row>
    <row r="164" spans="3:3">
      <c r="C164" s="489"/>
    </row>
    <row r="165" spans="3:3">
      <c r="C165" s="489"/>
    </row>
    <row r="166" spans="3:3">
      <c r="C166" s="489"/>
    </row>
    <row r="167" spans="3:3">
      <c r="C167" s="489"/>
    </row>
    <row r="168" spans="3:3">
      <c r="C168" s="489"/>
    </row>
    <row r="169" spans="3:3">
      <c r="C169" s="489"/>
    </row>
    <row r="170" spans="3:3">
      <c r="C170" s="489"/>
    </row>
    <row r="171" spans="3:3">
      <c r="C171" s="489"/>
    </row>
    <row r="172" spans="3:3">
      <c r="C172" s="489"/>
    </row>
    <row r="173" spans="3:3">
      <c r="C173" s="489"/>
    </row>
    <row r="174" spans="3:3">
      <c r="C174" s="489"/>
    </row>
    <row r="175" spans="3:3">
      <c r="C175" s="489"/>
    </row>
    <row r="176" spans="3:3">
      <c r="C176" s="489"/>
    </row>
    <row r="177" spans="3:3">
      <c r="C177" s="489"/>
    </row>
    <row r="178" spans="3:3">
      <c r="C178" s="489"/>
    </row>
    <row r="179" spans="3:3">
      <c r="C179" s="489"/>
    </row>
    <row r="180" spans="3:3">
      <c r="C180" s="489"/>
    </row>
    <row r="181" spans="3:3">
      <c r="C181" s="489"/>
    </row>
    <row r="182" spans="3:3">
      <c r="C182" s="489"/>
    </row>
    <row r="183" spans="3:3">
      <c r="C183" s="489"/>
    </row>
    <row r="184" spans="3:3">
      <c r="C184" s="489"/>
    </row>
    <row r="185" spans="3:3">
      <c r="C185" s="489"/>
    </row>
    <row r="186" spans="3:3">
      <c r="C186" s="489"/>
    </row>
    <row r="187" spans="3:3">
      <c r="C187" s="489"/>
    </row>
    <row r="188" spans="3:3">
      <c r="C188" s="489"/>
    </row>
    <row r="189" spans="3:3">
      <c r="C189" s="489"/>
    </row>
    <row r="190" spans="3:3">
      <c r="C190" s="489"/>
    </row>
    <row r="191" spans="3:3">
      <c r="C191" s="489"/>
    </row>
    <row r="192" spans="3:3">
      <c r="C192" s="489"/>
    </row>
    <row r="193" spans="3:3">
      <c r="C193" s="489"/>
    </row>
    <row r="194" spans="3:3">
      <c r="C194" s="489"/>
    </row>
    <row r="195" spans="3:3">
      <c r="C195" s="489"/>
    </row>
    <row r="196" spans="3:3">
      <c r="C196" s="489"/>
    </row>
    <row r="197" spans="3:3">
      <c r="C197" s="489"/>
    </row>
    <row r="198" spans="3:3">
      <c r="C198" s="489"/>
    </row>
    <row r="199" spans="3:3">
      <c r="C199" s="489"/>
    </row>
    <row r="200" spans="3:3"/>
    <row r="201" spans="3:3"/>
    <row r="202" spans="3:3"/>
    <row r="203" spans="3:3"/>
    <row r="204" spans="3:3"/>
    <row r="205" spans="3:3"/>
    <row r="206" spans="3:3"/>
    <row r="207" spans="3:3"/>
    <row r="208" spans="3:3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</sheetData>
  <mergeCells count="8">
    <mergeCell ref="C43:G43"/>
    <mergeCell ref="C42:G42"/>
    <mergeCell ref="C48:G48"/>
    <mergeCell ref="C49:G49"/>
    <mergeCell ref="C47:G47"/>
    <mergeCell ref="C46:G46"/>
    <mergeCell ref="C44:G44"/>
    <mergeCell ref="C45:G45"/>
  </mergeCells>
  <hyperlinks>
    <hyperlink ref="C24" r:id="rId1" xr:uid="{F4A3529E-ED2B-4183-97DD-5D0CC6C980C8}"/>
    <hyperlink ref="C25" r:id="rId2" xr:uid="{61C307F8-45C1-441B-BF1C-08FE08E9F13C}"/>
    <hyperlink ref="C22" r:id="rId3" xr:uid="{850647EF-8F53-4A03-AC75-B858027C1F1E}"/>
    <hyperlink ref="C17" r:id="rId4" xr:uid="{59D7442A-6020-43C2-8925-D84F701E01CE}"/>
    <hyperlink ref="C18" r:id="rId5" display="mailto:%20jugend1@dav-altdorf.de" xr:uid="{0DE397B8-248D-4E9A-AF13-95013F2A4EB8}"/>
    <hyperlink ref="C19" r:id="rId6" xr:uid="{86319C67-2A39-4FB9-83C4-E31052C0DE7D}"/>
    <hyperlink ref="C20" r:id="rId7" xr:uid="{02893A59-331C-4E49-B1AB-C58E3FE7079A}"/>
    <hyperlink ref="C21" r:id="rId8" xr:uid="{B41E24DC-4CC3-4377-8B0C-E30521FBA5C7}"/>
    <hyperlink ref="C23" r:id="rId9" xr:uid="{43054910-9F38-4DE6-B6E8-A7A94767A43F}"/>
    <hyperlink ref="C26" r:id="rId10" xr:uid="{648F5217-6CD7-46E5-B9B2-E83F4FC362F4}"/>
    <hyperlink ref="C28" r:id="rId11" xr:uid="{3A32D013-769F-4FEB-81AF-FE202B972ED3}"/>
    <hyperlink ref="C27" r:id="rId12" xr:uid="{D56A8A14-0B0C-4108-8DFD-2B409D5DB955}"/>
    <hyperlink ref="C16" r:id="rId13" xr:uid="{0E2540FC-7081-4221-9992-E901B394EC44}"/>
    <hyperlink ref="C29" r:id="rId14" xr:uid="{DD67812F-5F90-4C4C-9981-93D63B95EE60}"/>
    <hyperlink ref="C30" r:id="rId15" xr:uid="{E868D9FF-7A35-448F-92B1-2DC3D803B88B}"/>
  </hyperlinks>
  <pageMargins left="0.7" right="0.7" top="0.78740157499999996" bottom="0.78740157499999996" header="0.3" footer="0.3"/>
  <drawing r:id="rId16"/>
  <legacyDrawing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6CE38-FA36-4198-9466-CA0B4F80EA56}">
  <sheetPr>
    <tabColor theme="7"/>
  </sheetPr>
  <dimension ref="A1:N41"/>
  <sheetViews>
    <sheetView workbookViewId="0">
      <selection activeCell="I2" sqref="I2"/>
    </sheetView>
  </sheetViews>
  <sheetFormatPr defaultColWidth="11.5703125" defaultRowHeight="12.75"/>
  <cols>
    <col min="1" max="1" width="28.28515625" style="806" customWidth="1"/>
    <col min="2" max="4" width="9.7109375" style="806" customWidth="1"/>
    <col min="5" max="5" width="10" style="806" customWidth="1"/>
    <col min="6" max="6" width="11.140625" style="806" customWidth="1"/>
    <col min="7" max="7" width="11.7109375" style="806" customWidth="1"/>
    <col min="8" max="8" width="11.5703125" style="806"/>
    <col min="9" max="9" width="31.7109375" style="806" customWidth="1"/>
    <col min="10" max="16384" width="11.5703125" style="806"/>
  </cols>
  <sheetData>
    <row r="1" spans="1:12" ht="25.15" customHeight="1">
      <c r="A1" s="1177" t="s">
        <v>416</v>
      </c>
      <c r="B1" s="1178"/>
      <c r="C1" s="1178"/>
      <c r="D1" s="1178"/>
      <c r="E1" s="1178"/>
      <c r="F1" s="1179"/>
      <c r="G1" s="1180"/>
      <c r="H1" s="850" t="s">
        <v>417</v>
      </c>
      <c r="I1" s="1010" t="s">
        <v>418</v>
      </c>
    </row>
    <row r="2" spans="1:12" ht="25.15" customHeight="1">
      <c r="A2" s="1185" t="s">
        <v>419</v>
      </c>
      <c r="B2" s="1186"/>
      <c r="C2" s="1186"/>
      <c r="D2" s="1186"/>
      <c r="E2" s="1186"/>
      <c r="F2" s="1181"/>
      <c r="G2" s="1182"/>
      <c r="I2" s="1023" t="str">
        <f>HYPERLINK("mailto:"&amp;VLOOKUP("Schatzmeisterin",HilfeListe!B15:C36,2,0)&amp;"?Subject=Abrechnung PKW " &amp;AnmeldeListe!C2&amp;": "&amp;AnmeldeListe!C3&amp;
"&amp;cc="&amp;VLOOKUP(AnmeldeListe!C1,HilfeListe!B15:C36,2,0)&amp;
"&amp;body=" &amp; "Hallo Schatzmeister*in,%0A%0Aich bitte um Kostenerstattung"  &amp; "%0A%0A&lt;Screenshot einfügen&gt;" &amp; "%0A%0ALiebe Grüße "  &amp; AnmeldeListe!C1 &amp; "/"&amp; AnmeldeListe!B9 &amp;" " &amp; AnmeldeListe!C9,"Email an Sektion: Abrechnung PKW ")</f>
        <v xml:space="preserve">Email an Sektion: Abrechnung PKW </v>
      </c>
    </row>
    <row r="3" spans="1:12" ht="25.15" customHeight="1" thickBot="1">
      <c r="A3" s="1187" t="s">
        <v>420</v>
      </c>
      <c r="B3" s="1188"/>
      <c r="C3" s="1188"/>
      <c r="D3" s="1188"/>
      <c r="E3" s="1188"/>
      <c r="F3" s="1183"/>
      <c r="G3" s="1184"/>
    </row>
    <row r="4" spans="1:12" ht="25.15" customHeight="1">
      <c r="A4" s="807" t="s">
        <v>421</v>
      </c>
      <c r="B4" s="1189" t="str">
        <f>AnmeldeListe!C1</f>
        <v>Sektion</v>
      </c>
      <c r="C4" s="1189"/>
      <c r="D4" s="1189"/>
      <c r="E4" s="1189"/>
      <c r="F4" s="1189"/>
      <c r="G4" s="1190"/>
    </row>
    <row r="5" spans="1:12" ht="25.15" customHeight="1">
      <c r="A5" s="808" t="s">
        <v>422</v>
      </c>
      <c r="B5" s="1173" t="str">
        <f>AnmeldeListe!C5</f>
        <v>&lt;Ort&gt;</v>
      </c>
      <c r="C5" s="1174"/>
      <c r="D5" s="1174"/>
      <c r="E5" s="809" t="s">
        <v>423</v>
      </c>
      <c r="F5" s="1175">
        <f>AnmeldeListe!B4</f>
        <v>45842</v>
      </c>
      <c r="G5" s="1176"/>
    </row>
    <row r="6" spans="1:12" ht="25.15" customHeight="1" thickBot="1">
      <c r="A6" s="810" t="s">
        <v>424</v>
      </c>
      <c r="B6" s="1153" t="str">
        <f>AnmeldeListe!C9</f>
        <v>Orga1</v>
      </c>
      <c r="C6" s="1154"/>
      <c r="D6" s="1154"/>
      <c r="E6" s="1154"/>
      <c r="F6" s="1154"/>
      <c r="G6" s="1155"/>
    </row>
    <row r="7" spans="1:12" ht="30" customHeight="1">
      <c r="A7" s="811" t="s">
        <v>425</v>
      </c>
      <c r="B7" s="812" t="s">
        <v>426</v>
      </c>
      <c r="C7" s="813" t="s">
        <v>427</v>
      </c>
      <c r="D7" s="812"/>
      <c r="E7" s="813"/>
      <c r="F7" s="813" t="s">
        <v>428</v>
      </c>
      <c r="G7" s="814" t="s">
        <v>429</v>
      </c>
    </row>
    <row r="8" spans="1:12" ht="25.15" customHeight="1">
      <c r="A8" s="815" t="s">
        <v>430</v>
      </c>
      <c r="B8" s="816">
        <v>1</v>
      </c>
      <c r="C8" s="817"/>
      <c r="D8" s="818"/>
      <c r="E8" s="818"/>
      <c r="F8" s="819">
        <f>+B8+C8</f>
        <v>1</v>
      </c>
      <c r="G8" s="820"/>
    </row>
    <row r="9" spans="1:12" ht="25.15" customHeight="1">
      <c r="A9" s="815" t="s">
        <v>431</v>
      </c>
      <c r="B9" s="1011">
        <f>AnmeldeListe!A8-1</f>
        <v>1</v>
      </c>
      <c r="C9" s="817"/>
      <c r="D9" s="818"/>
      <c r="E9" s="818"/>
      <c r="F9" s="819">
        <f>+B9+C9</f>
        <v>1</v>
      </c>
      <c r="G9" s="820"/>
    </row>
    <row r="10" spans="1:12" ht="25.15" customHeight="1">
      <c r="A10" s="815" t="s">
        <v>432</v>
      </c>
      <c r="B10" s="816"/>
      <c r="C10" s="817"/>
      <c r="D10" s="818"/>
      <c r="E10" s="818"/>
      <c r="F10" s="819">
        <f>+B10+C10</f>
        <v>0</v>
      </c>
      <c r="G10" s="820"/>
    </row>
    <row r="11" spans="1:12" ht="25.15" customHeight="1" thickBot="1">
      <c r="A11" s="810" t="s">
        <v>433</v>
      </c>
      <c r="B11" s="821"/>
      <c r="C11" s="822"/>
      <c r="D11" s="823"/>
      <c r="E11" s="823"/>
      <c r="F11" s="824">
        <f>F8+F9</f>
        <v>2</v>
      </c>
      <c r="G11" s="825"/>
    </row>
    <row r="12" spans="1:12" ht="6" customHeight="1" thickBot="1">
      <c r="A12" s="1156"/>
      <c r="B12" s="1156"/>
      <c r="C12" s="1156"/>
      <c r="D12" s="1156"/>
      <c r="E12" s="1156"/>
      <c r="F12" s="1156"/>
      <c r="G12" s="1156"/>
    </row>
    <row r="13" spans="1:12" ht="21.6" customHeight="1">
      <c r="A13" s="1157" t="s">
        <v>434</v>
      </c>
      <c r="B13" s="1158"/>
      <c r="C13" s="1158"/>
      <c r="D13" s="1158"/>
      <c r="E13" s="1158"/>
      <c r="F13" s="1158"/>
      <c r="G13" s="1159"/>
    </row>
    <row r="14" spans="1:12" ht="21.6" customHeight="1">
      <c r="A14" s="815" t="s">
        <v>435</v>
      </c>
      <c r="B14" s="1160">
        <f>+AnmeldeListe!D6</f>
        <v>0</v>
      </c>
      <c r="C14" s="1161"/>
      <c r="D14" s="1161"/>
      <c r="E14" s="826"/>
      <c r="F14" s="827"/>
      <c r="G14" s="828"/>
    </row>
    <row r="15" spans="1:12" ht="21.6" customHeight="1">
      <c r="A15" s="815" t="s">
        <v>436</v>
      </c>
      <c r="B15" s="1127">
        <v>1</v>
      </c>
      <c r="C15" s="1127"/>
      <c r="D15" s="1127"/>
      <c r="E15" s="826"/>
      <c r="F15" s="827"/>
      <c r="G15" s="828"/>
    </row>
    <row r="16" spans="1:12" ht="18.399999999999999" customHeight="1">
      <c r="A16" s="829"/>
      <c r="B16" s="830" t="s">
        <v>437</v>
      </c>
      <c r="C16" s="830" t="s">
        <v>438</v>
      </c>
      <c r="D16" s="831" t="s">
        <v>439</v>
      </c>
      <c r="E16" s="832"/>
      <c r="G16" s="833"/>
      <c r="I16" s="834"/>
      <c r="J16" s="834"/>
      <c r="L16" s="834"/>
    </row>
    <row r="17" spans="1:14" ht="47.45" customHeight="1">
      <c r="A17" s="829"/>
      <c r="B17" s="835" t="s">
        <v>440</v>
      </c>
      <c r="C17" s="835" t="s">
        <v>441</v>
      </c>
      <c r="D17" s="835" t="s">
        <v>442</v>
      </c>
      <c r="E17" s="832"/>
      <c r="G17" s="833"/>
      <c r="I17" s="834"/>
      <c r="J17" s="834"/>
      <c r="L17" s="834"/>
    </row>
    <row r="18" spans="1:14" ht="18.399999999999999" customHeight="1">
      <c r="A18" s="815" t="s">
        <v>443</v>
      </c>
      <c r="B18" s="836"/>
      <c r="C18" s="837"/>
      <c r="D18" s="837"/>
      <c r="E18" s="838"/>
      <c r="G18" s="833"/>
      <c r="I18" s="834"/>
      <c r="J18" s="834"/>
      <c r="L18" s="834"/>
    </row>
    <row r="19" spans="1:14" ht="18.399999999999999" customHeight="1">
      <c r="A19" s="815" t="s">
        <v>444</v>
      </c>
      <c r="B19" s="839"/>
      <c r="C19" s="840"/>
      <c r="D19" s="841"/>
      <c r="E19" s="838"/>
      <c r="G19" s="833"/>
      <c r="I19" s="834"/>
      <c r="J19" s="834"/>
      <c r="L19" s="834"/>
    </row>
    <row r="20" spans="1:14" ht="18.399999999999999" customHeight="1">
      <c r="A20" s="815" t="s">
        <v>445</v>
      </c>
      <c r="B20" s="841">
        <f>B14*B18*B19/100</f>
        <v>0</v>
      </c>
      <c r="C20" s="839"/>
      <c r="D20" s="842"/>
      <c r="E20" s="843"/>
      <c r="G20" s="833"/>
      <c r="I20" s="834"/>
      <c r="J20" s="834"/>
      <c r="L20" s="834"/>
    </row>
    <row r="21" spans="1:14" ht="18.399999999999999" customHeight="1">
      <c r="A21" s="815" t="s">
        <v>446</v>
      </c>
      <c r="B21" s="839"/>
      <c r="C21" s="839"/>
      <c r="D21" s="842"/>
      <c r="E21" s="843"/>
      <c r="G21" s="833"/>
      <c r="I21" s="834"/>
      <c r="J21" s="834"/>
      <c r="L21" s="834"/>
    </row>
    <row r="22" spans="1:14" ht="18.399999999999999" customHeight="1">
      <c r="A22" s="815" t="s">
        <v>447</v>
      </c>
      <c r="B22" s="844">
        <f>(B20+B21)/B15</f>
        <v>0</v>
      </c>
      <c r="C22" s="841">
        <f>(C20+C21)/B15</f>
        <v>0</v>
      </c>
      <c r="D22" s="839"/>
      <c r="E22" s="845"/>
      <c r="G22" s="833"/>
      <c r="I22" s="834"/>
      <c r="J22" s="834"/>
      <c r="L22" s="834"/>
    </row>
    <row r="23" spans="1:14" ht="18.399999999999999" customHeight="1" thickBot="1">
      <c r="A23" s="1147" t="s">
        <v>448</v>
      </c>
      <c r="B23" s="1148"/>
      <c r="C23" s="1148"/>
      <c r="D23" s="846">
        <f>B22+C22+D22</f>
        <v>0</v>
      </c>
      <c r="E23" s="847"/>
      <c r="F23" s="848"/>
      <c r="G23" s="849"/>
      <c r="I23" s="834"/>
      <c r="J23" s="834"/>
      <c r="L23" s="834"/>
    </row>
    <row r="24" spans="1:14" ht="6" customHeight="1" thickBot="1">
      <c r="A24" s="1162"/>
      <c r="B24" s="1162"/>
      <c r="C24" s="1162"/>
      <c r="D24" s="1162"/>
      <c r="E24" s="1162"/>
      <c r="F24" s="1162"/>
      <c r="G24" s="1162"/>
      <c r="H24" s="850"/>
      <c r="I24" s="850"/>
      <c r="J24" s="834"/>
      <c r="K24" s="834"/>
      <c r="N24" s="834"/>
    </row>
    <row r="25" spans="1:14" ht="16.5" customHeight="1">
      <c r="A25" s="1163" t="s">
        <v>449</v>
      </c>
      <c r="B25" s="1164"/>
      <c r="C25" s="1164"/>
      <c r="D25" s="1164"/>
      <c r="E25" s="1164"/>
      <c r="F25" s="1164"/>
      <c r="G25" s="1165"/>
    </row>
    <row r="26" spans="1:14" ht="16.5" customHeight="1">
      <c r="A26" s="1166" t="s">
        <v>450</v>
      </c>
      <c r="B26" s="1167"/>
      <c r="C26" s="1168"/>
      <c r="D26" s="1169">
        <v>14</v>
      </c>
      <c r="E26" s="1170"/>
      <c r="F26" s="1171"/>
      <c r="G26" s="1172"/>
    </row>
    <row r="27" spans="1:14" ht="16.5" customHeight="1">
      <c r="A27" s="1142" t="s">
        <v>451</v>
      </c>
      <c r="B27" s="1143"/>
      <c r="C27" s="1143"/>
      <c r="D27" s="1152"/>
      <c r="E27" s="1152"/>
      <c r="F27" s="1145"/>
      <c r="G27" s="1146"/>
    </row>
    <row r="28" spans="1:14" ht="16.5" customHeight="1">
      <c r="A28" s="1142" t="s">
        <v>452</v>
      </c>
      <c r="B28" s="1143"/>
      <c r="C28" s="1143"/>
      <c r="D28" s="1144"/>
      <c r="E28" s="1144"/>
      <c r="F28" s="1145"/>
      <c r="G28" s="1146"/>
    </row>
    <row r="29" spans="1:14" ht="18.600000000000001" customHeight="1" thickBot="1">
      <c r="A29" s="1147" t="s">
        <v>453</v>
      </c>
      <c r="B29" s="1148"/>
      <c r="C29" s="1148"/>
      <c r="D29" s="1149"/>
      <c r="E29" s="1149"/>
      <c r="F29" s="1150"/>
      <c r="G29" s="1151"/>
    </row>
    <row r="30" spans="1:14" ht="6" customHeight="1" thickBot="1">
      <c r="A30" s="1131"/>
      <c r="B30" s="1132"/>
      <c r="C30" s="1132"/>
      <c r="D30" s="1132"/>
      <c r="E30" s="1132"/>
      <c r="F30" s="1132"/>
      <c r="G30" s="1133"/>
    </row>
    <row r="31" spans="1:14" ht="18.399999999999999" customHeight="1">
      <c r="A31" s="1134" t="s">
        <v>454</v>
      </c>
      <c r="B31" s="1135"/>
      <c r="C31" s="1135"/>
      <c r="D31" s="1136">
        <f>D23+D26+D27+D28-D29</f>
        <v>14</v>
      </c>
      <c r="E31" s="1136"/>
      <c r="F31" s="1137"/>
      <c r="G31" s="1138"/>
    </row>
    <row r="32" spans="1:14" ht="6" customHeight="1">
      <c r="A32" s="1139"/>
      <c r="B32" s="1140"/>
      <c r="C32" s="1140"/>
      <c r="D32" s="1140"/>
      <c r="E32" s="1140"/>
      <c r="F32" s="1140"/>
      <c r="G32" s="1141"/>
    </row>
    <row r="33" spans="1:7" ht="18.399999999999999" customHeight="1">
      <c r="A33" s="815" t="s">
        <v>455</v>
      </c>
      <c r="B33" s="1124"/>
      <c r="C33" s="1124"/>
      <c r="D33" s="1124"/>
      <c r="E33" s="1124"/>
      <c r="F33" s="1124"/>
      <c r="G33" s="1125"/>
    </row>
    <row r="34" spans="1:7" ht="18.75" customHeight="1">
      <c r="A34" s="815" t="s">
        <v>456</v>
      </c>
      <c r="B34" s="1124" t="s">
        <v>457</v>
      </c>
      <c r="C34" s="1124"/>
      <c r="D34" s="1124"/>
      <c r="E34" s="1124"/>
      <c r="F34" s="1124"/>
      <c r="G34" s="1125"/>
    </row>
    <row r="35" spans="1:7" ht="12" customHeight="1">
      <c r="A35" s="1126"/>
      <c r="B35" s="1127"/>
      <c r="C35" s="1127"/>
      <c r="D35" s="1127"/>
      <c r="E35" s="1127"/>
      <c r="F35" s="1127"/>
      <c r="G35" s="1128"/>
    </row>
    <row r="36" spans="1:7" ht="12" customHeight="1">
      <c r="A36" s="1126"/>
      <c r="B36" s="1127"/>
      <c r="C36" s="1127"/>
      <c r="D36" s="1127"/>
      <c r="E36" s="1127"/>
      <c r="F36" s="1127"/>
      <c r="G36" s="1128"/>
    </row>
    <row r="37" spans="1:7" ht="12" customHeight="1">
      <c r="A37" s="1126"/>
      <c r="B37" s="1127"/>
      <c r="C37" s="1127"/>
      <c r="D37" s="1127"/>
      <c r="E37" s="1127"/>
      <c r="F37" s="1127"/>
      <c r="G37" s="1128"/>
    </row>
    <row r="38" spans="1:7" ht="25.15" customHeight="1" thickBot="1">
      <c r="A38" s="1020">
        <f ca="1">TODAY()</f>
        <v>45608</v>
      </c>
      <c r="B38" s="1129" t="str">
        <f>"gez. "&amp;AnmeldeListe!C9</f>
        <v>gez. Orga1</v>
      </c>
      <c r="C38" s="1129"/>
      <c r="D38" s="1129"/>
      <c r="E38" s="1129"/>
      <c r="F38" s="1129"/>
      <c r="G38" s="1130"/>
    </row>
    <row r="39" spans="1:7" ht="13.5" customHeight="1">
      <c r="A39" s="852"/>
      <c r="B39" s="852"/>
      <c r="D39" s="852"/>
    </row>
    <row r="40" spans="1:7" ht="15.6" customHeight="1"/>
    <row r="41" spans="1:7" ht="15.6" customHeight="1"/>
  </sheetData>
  <mergeCells count="37">
    <mergeCell ref="B5:D5"/>
    <mergeCell ref="F5:G5"/>
    <mergeCell ref="A1:E1"/>
    <mergeCell ref="F1:G3"/>
    <mergeCell ref="A2:E2"/>
    <mergeCell ref="A3:E3"/>
    <mergeCell ref="B4:G4"/>
    <mergeCell ref="A27:C27"/>
    <mergeCell ref="D27:E27"/>
    <mergeCell ref="F27:G27"/>
    <mergeCell ref="B6:G6"/>
    <mergeCell ref="A12:G12"/>
    <mergeCell ref="A13:G13"/>
    <mergeCell ref="B14:D14"/>
    <mergeCell ref="B15:D15"/>
    <mergeCell ref="A23:C23"/>
    <mergeCell ref="A24:G24"/>
    <mergeCell ref="A25:G25"/>
    <mergeCell ref="A26:C26"/>
    <mergeCell ref="D26:E26"/>
    <mergeCell ref="F26:G26"/>
    <mergeCell ref="A28:C28"/>
    <mergeCell ref="D28:E28"/>
    <mergeCell ref="F28:G28"/>
    <mergeCell ref="A29:C29"/>
    <mergeCell ref="D29:E29"/>
    <mergeCell ref="F29:G29"/>
    <mergeCell ref="B34:G34"/>
    <mergeCell ref="A35:A37"/>
    <mergeCell ref="B35:G37"/>
    <mergeCell ref="B38:G38"/>
    <mergeCell ref="A30:G30"/>
    <mergeCell ref="A31:C31"/>
    <mergeCell ref="D31:E31"/>
    <mergeCell ref="F31:G31"/>
    <mergeCell ref="A32:G32"/>
    <mergeCell ref="B33:G33"/>
  </mergeCells>
  <hyperlinks>
    <hyperlink ref="I1" r:id="rId1" display="../../../../../:u:/r/sites/S-348-O-Skitour/Freigegebene Dokumente/General/DAV SkiBergsteiger Orga/Abrechnungsformular PKWund%C3%96ffi-Fahrten_Muster_mitF%C3%9CL (S-348-O-Sektionsteam).url?csf=1&amp;web=1&amp;e=IKhAQW" xr:uid="{092EED57-07AE-4E58-B8E7-A583B7F778F4}"/>
  </hyperlinks>
  <pageMargins left="0.70866141732283472" right="0.31496062992125984" top="0.78740157480314965" bottom="0.78740157480314965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2417-7176-45AC-999E-B1DC03AA833B}">
  <sheetPr>
    <tabColor theme="7"/>
  </sheetPr>
  <dimension ref="A1:N46"/>
  <sheetViews>
    <sheetView workbookViewId="0">
      <selection activeCell="I2" sqref="I2"/>
    </sheetView>
  </sheetViews>
  <sheetFormatPr defaultColWidth="11.5703125" defaultRowHeight="12.75"/>
  <cols>
    <col min="1" max="1" width="28.28515625" style="806" customWidth="1"/>
    <col min="2" max="2" width="8.28515625" style="806" customWidth="1"/>
    <col min="3" max="3" width="10.28515625" style="806" customWidth="1"/>
    <col min="4" max="4" width="7.85546875" style="806" customWidth="1"/>
    <col min="5" max="5" width="10" style="806" customWidth="1"/>
    <col min="6" max="6" width="11.140625" style="806" customWidth="1"/>
    <col min="7" max="7" width="11.7109375" style="806" customWidth="1"/>
    <col min="8" max="8" width="9.7109375" style="806" customWidth="1"/>
    <col min="9" max="9" width="57.85546875" style="806" customWidth="1"/>
    <col min="10" max="16384" width="11.5703125" style="806"/>
  </cols>
  <sheetData>
    <row r="1" spans="1:9" ht="25.5">
      <c r="A1" s="853" t="s">
        <v>416</v>
      </c>
      <c r="B1" s="854"/>
      <c r="C1" s="854"/>
      <c r="D1" s="854"/>
      <c r="E1" s="854"/>
      <c r="F1" s="854"/>
      <c r="G1" s="855"/>
      <c r="H1" s="850" t="s">
        <v>417</v>
      </c>
      <c r="I1" s="1010" t="s">
        <v>418</v>
      </c>
    </row>
    <row r="2" spans="1:9" ht="16.5">
      <c r="A2" s="856" t="s">
        <v>458</v>
      </c>
      <c r="B2" s="845"/>
      <c r="C2" s="845"/>
      <c r="D2" s="845"/>
      <c r="E2" s="845"/>
      <c r="F2" s="845"/>
      <c r="G2" s="857"/>
      <c r="I2" s="1023" t="str">
        <f>HYPERLINK("mailto:"&amp;VLOOKUP("Schatzmeisterin",HilfeListe!B15:C36,2,0)&amp;"?Subject=Abrechnung PKW " &amp;AnmeldeListe!C2&amp;": "&amp;AnmeldeListe!C3&amp;
"&amp;cc="&amp;VLOOKUP(AnmeldeListe!C1,HilfeListe!B15:C36,2,0)&amp;
"&amp;body=" &amp; "Hallo Schatzmeister*in,%0A%0Aich bitte um Kostenerstattung"  &amp; "%0A%0A&lt;Screenshot einfügen&gt;" &amp; "%0A%0ALiebe Grüße "  &amp; AnmeldeListe!C1 &amp; "/"&amp; AnmeldeListe!B9 &amp;" " &amp; AnmeldeListe!C9,"Email an Sektion: Abrechnung PKW ")</f>
        <v xml:space="preserve">Email an Sektion: Abrechnung PKW </v>
      </c>
    </row>
    <row r="3" spans="1:9" ht="37.9" customHeight="1">
      <c r="A3" s="1244" t="s">
        <v>420</v>
      </c>
      <c r="B3" s="1245"/>
      <c r="C3" s="1245"/>
      <c r="D3" s="1245"/>
      <c r="E3" s="845"/>
      <c r="F3" s="845"/>
      <c r="G3" s="857"/>
    </row>
    <row r="4" spans="1:9" ht="15.75">
      <c r="A4" s="808" t="s">
        <v>421</v>
      </c>
      <c r="B4" s="1246" t="str">
        <f>AnmeldeListe!C1</f>
        <v>Sektion</v>
      </c>
      <c r="C4" s="1247"/>
      <c r="D4" s="1248"/>
      <c r="E4" s="858"/>
      <c r="F4" s="1249"/>
      <c r="G4" s="1250"/>
    </row>
    <row r="5" spans="1:9" ht="6" customHeight="1">
      <c r="A5" s="859"/>
      <c r="B5" s="860"/>
      <c r="C5" s="861"/>
      <c r="D5" s="862"/>
      <c r="G5" s="833"/>
    </row>
    <row r="6" spans="1:9" ht="15.75">
      <c r="A6" s="808" t="s">
        <v>422</v>
      </c>
      <c r="B6" s="1246" t="str">
        <f>AnmeldeListe!C5</f>
        <v>&lt;Ort&gt;</v>
      </c>
      <c r="C6" s="1247"/>
      <c r="D6" s="1248"/>
      <c r="F6" s="863"/>
      <c r="G6" s="864"/>
    </row>
    <row r="7" spans="1:9" ht="6" customHeight="1">
      <c r="A7" s="859"/>
      <c r="B7" s="860"/>
      <c r="C7" s="861"/>
      <c r="D7" s="861"/>
      <c r="F7" s="865"/>
      <c r="G7" s="833"/>
    </row>
    <row r="8" spans="1:9" ht="15.75">
      <c r="A8" s="808" t="s">
        <v>424</v>
      </c>
      <c r="B8" s="1246" t="str">
        <f>AnmeldeListe!C9</f>
        <v>Orga1</v>
      </c>
      <c r="C8" s="1251"/>
      <c r="D8" s="1252"/>
      <c r="E8" s="858"/>
      <c r="F8" s="1253"/>
      <c r="G8" s="1254"/>
    </row>
    <row r="9" spans="1:9" ht="6" customHeight="1">
      <c r="A9" s="859"/>
      <c r="B9" s="860"/>
      <c r="C9" s="861"/>
      <c r="D9" s="861"/>
      <c r="F9" s="865"/>
      <c r="G9" s="833"/>
    </row>
    <row r="10" spans="1:9" ht="16.5" thickBot="1">
      <c r="A10" s="810" t="s">
        <v>48</v>
      </c>
      <c r="B10" s="1235">
        <f>AnmeldeListe!B4</f>
        <v>45842</v>
      </c>
      <c r="C10" s="1236"/>
      <c r="D10" s="1237"/>
      <c r="E10" s="867"/>
      <c r="F10" s="1238"/>
      <c r="G10" s="1239"/>
    </row>
    <row r="11" spans="1:9" ht="12" customHeight="1" thickBot="1">
      <c r="A11" s="869"/>
      <c r="G11" s="833"/>
    </row>
    <row r="12" spans="1:9" ht="24" customHeight="1">
      <c r="A12" s="811" t="s">
        <v>425</v>
      </c>
      <c r="B12" s="870" t="s">
        <v>426</v>
      </c>
      <c r="C12" s="871" t="s">
        <v>459</v>
      </c>
      <c r="D12" s="1240" t="s">
        <v>428</v>
      </c>
      <c r="E12" s="1241"/>
      <c r="F12" s="1242" t="s">
        <v>429</v>
      </c>
      <c r="G12" s="1243"/>
    </row>
    <row r="13" spans="1:9" ht="9.75" customHeight="1">
      <c r="A13" s="872"/>
      <c r="B13" s="873"/>
      <c r="C13" s="874"/>
      <c r="D13" s="873"/>
      <c r="E13" s="874"/>
      <c r="F13" s="874"/>
      <c r="G13" s="833"/>
    </row>
    <row r="14" spans="1:9" ht="18.399999999999999" customHeight="1">
      <c r="A14" s="815" t="s">
        <v>460</v>
      </c>
      <c r="B14" s="816">
        <v>1</v>
      </c>
      <c r="C14" s="816"/>
      <c r="D14" s="1225">
        <f>+B14+C14</f>
        <v>1</v>
      </c>
      <c r="E14" s="1226"/>
      <c r="F14" s="1140"/>
      <c r="G14" s="1141"/>
    </row>
    <row r="15" spans="1:9" ht="18.399999999999999" customHeight="1">
      <c r="A15" s="815" t="s">
        <v>431</v>
      </c>
      <c r="B15" s="1011">
        <f>AnmeldeListe!A8-1</f>
        <v>1</v>
      </c>
      <c r="C15" s="816"/>
      <c r="D15" s="1225">
        <f>+B15+C15</f>
        <v>1</v>
      </c>
      <c r="E15" s="1226"/>
      <c r="F15" s="1140"/>
      <c r="G15" s="1141"/>
    </row>
    <row r="16" spans="1:9" ht="18.399999999999999" customHeight="1">
      <c r="A16" s="815" t="s">
        <v>432</v>
      </c>
      <c r="B16" s="816"/>
      <c r="C16" s="816"/>
      <c r="D16" s="1225">
        <f>+B16+C16</f>
        <v>0</v>
      </c>
      <c r="E16" s="1226"/>
      <c r="F16" s="1140"/>
      <c r="G16" s="1141"/>
    </row>
    <row r="17" spans="1:14" ht="20.100000000000001" customHeight="1" thickBot="1">
      <c r="A17" s="810" t="s">
        <v>433</v>
      </c>
      <c r="B17" s="821"/>
      <c r="C17" s="821"/>
      <c r="D17" s="1227">
        <f>D14+D15</f>
        <v>2</v>
      </c>
      <c r="E17" s="1228"/>
      <c r="F17" s="1229"/>
      <c r="G17" s="1230"/>
    </row>
    <row r="18" spans="1:14" ht="12" customHeight="1" thickBot="1">
      <c r="A18" s="869"/>
      <c r="G18" s="833"/>
    </row>
    <row r="19" spans="1:14" ht="21.6" customHeight="1">
      <c r="A19" s="875" t="s">
        <v>461</v>
      </c>
      <c r="B19" s="1231" t="s">
        <v>462</v>
      </c>
      <c r="C19" s="1232"/>
      <c r="D19" s="876"/>
      <c r="E19" s="876"/>
      <c r="F19" s="876"/>
      <c r="G19" s="877"/>
    </row>
    <row r="20" spans="1:14" ht="20.100000000000001" customHeight="1">
      <c r="A20" s="829" t="s">
        <v>463</v>
      </c>
      <c r="B20" s="1233">
        <v>25</v>
      </c>
      <c r="C20" s="1234"/>
      <c r="D20" s="845"/>
      <c r="E20" s="845"/>
      <c r="F20" s="845"/>
      <c r="G20" s="857"/>
      <c r="I20" s="834"/>
      <c r="K20" s="834"/>
    </row>
    <row r="21" spans="1:14" ht="18.399999999999999" customHeight="1">
      <c r="A21" s="829" t="s">
        <v>464</v>
      </c>
      <c r="B21" s="1233">
        <v>50</v>
      </c>
      <c r="C21" s="1234"/>
      <c r="D21" s="845"/>
      <c r="E21" s="845"/>
      <c r="F21" s="845"/>
      <c r="G21" s="857"/>
      <c r="I21" s="834"/>
      <c r="J21" s="834"/>
      <c r="L21" s="834"/>
    </row>
    <row r="22" spans="1:14" ht="18.399999999999999" customHeight="1">
      <c r="A22" s="829" t="s">
        <v>465</v>
      </c>
      <c r="B22" s="1233">
        <v>75</v>
      </c>
      <c r="C22" s="1234"/>
      <c r="D22" s="845"/>
      <c r="E22" s="845"/>
      <c r="F22" s="845"/>
      <c r="G22" s="857"/>
      <c r="I22" s="834"/>
      <c r="J22" s="834"/>
      <c r="L22" s="834"/>
    </row>
    <row r="23" spans="1:14" ht="18.399999999999999" customHeight="1">
      <c r="A23" s="829" t="s">
        <v>466</v>
      </c>
      <c r="B23" s="1233">
        <v>100</v>
      </c>
      <c r="C23" s="1234"/>
      <c r="D23" s="845"/>
      <c r="E23" s="845"/>
      <c r="F23" s="845"/>
      <c r="G23" s="857"/>
      <c r="I23" s="834"/>
      <c r="J23" s="834"/>
      <c r="L23" s="834"/>
    </row>
    <row r="24" spans="1:14" ht="27" customHeight="1" thickBot="1">
      <c r="A24" s="878" t="s">
        <v>467</v>
      </c>
      <c r="B24" s="1222" t="s">
        <v>468</v>
      </c>
      <c r="C24" s="1223"/>
      <c r="D24" s="1223"/>
      <c r="E24" s="1223"/>
      <c r="F24" s="1223"/>
      <c r="G24" s="1224"/>
      <c r="H24" s="850"/>
      <c r="I24" s="850"/>
      <c r="J24" s="834"/>
      <c r="K24" s="834"/>
      <c r="N24" s="834"/>
    </row>
    <row r="25" spans="1:14" ht="10.15" customHeight="1" thickBot="1">
      <c r="A25" s="879"/>
      <c r="B25" s="880"/>
      <c r="C25" s="881"/>
      <c r="D25" s="881"/>
      <c r="E25" s="881"/>
      <c r="F25" s="881"/>
      <c r="G25" s="881"/>
      <c r="H25" s="850"/>
      <c r="I25" s="850"/>
      <c r="J25" s="834"/>
      <c r="K25" s="834"/>
      <c r="N25" s="834"/>
    </row>
    <row r="26" spans="1:14" ht="19.149999999999999" customHeight="1">
      <c r="A26" s="875" t="s">
        <v>469</v>
      </c>
      <c r="B26" s="1216">
        <f>IF(D17&gt;20,B23,IF(D17&gt;12,B22,IF(D17&gt;7,B21,IF(D17&gt;1,B20))))</f>
        <v>25</v>
      </c>
      <c r="C26" s="1217"/>
      <c r="D26" s="882"/>
      <c r="E26" s="883"/>
      <c r="F26" s="883"/>
      <c r="G26" s="884"/>
    </row>
    <row r="27" spans="1:14" ht="18.399999999999999" customHeight="1">
      <c r="A27" s="885" t="s">
        <v>470</v>
      </c>
      <c r="B27" s="1218" t="s">
        <v>471</v>
      </c>
      <c r="C27" s="1219"/>
      <c r="D27" s="887"/>
      <c r="E27" s="888"/>
      <c r="G27" s="889"/>
    </row>
    <row r="28" spans="1:14" ht="18.75" customHeight="1">
      <c r="A28" s="890" t="s">
        <v>472</v>
      </c>
      <c r="B28" s="1220"/>
      <c r="C28" s="1221"/>
      <c r="D28" s="887"/>
      <c r="E28" s="888"/>
      <c r="G28" s="889"/>
    </row>
    <row r="29" spans="1:14" ht="18.75" customHeight="1">
      <c r="A29" s="890" t="s">
        <v>473</v>
      </c>
      <c r="B29" s="1220"/>
      <c r="C29" s="1221"/>
      <c r="D29" s="887"/>
      <c r="E29" s="888"/>
      <c r="G29" s="889"/>
    </row>
    <row r="30" spans="1:14" ht="24">
      <c r="A30" s="891" t="s">
        <v>474</v>
      </c>
      <c r="B30" s="1214">
        <v>14</v>
      </c>
      <c r="C30" s="1215"/>
      <c r="D30" s="887"/>
      <c r="E30" s="888"/>
      <c r="G30" s="889"/>
    </row>
    <row r="31" spans="1:14" ht="16.5" customHeight="1">
      <c r="A31" s="894" t="s">
        <v>475</v>
      </c>
      <c r="B31" s="1220"/>
      <c r="C31" s="1221"/>
      <c r="D31" s="1207"/>
      <c r="E31" s="1208"/>
      <c r="F31" s="1208"/>
      <c r="G31" s="1209"/>
    </row>
    <row r="32" spans="1:14" ht="16.5" customHeight="1">
      <c r="A32" s="894" t="s">
        <v>475</v>
      </c>
      <c r="B32" s="1210"/>
      <c r="C32" s="1211"/>
      <c r="D32" s="1207"/>
      <c r="E32" s="1208"/>
      <c r="F32" s="1208"/>
      <c r="G32" s="1209"/>
    </row>
    <row r="33" spans="1:7" ht="16.5" customHeight="1">
      <c r="A33" s="895" t="s">
        <v>454</v>
      </c>
      <c r="B33" s="1212">
        <f>SUM(B29:B32)</f>
        <v>14</v>
      </c>
      <c r="C33" s="1213"/>
      <c r="D33" s="887"/>
      <c r="E33" s="888"/>
      <c r="G33" s="889"/>
    </row>
    <row r="34" spans="1:7" ht="27" customHeight="1">
      <c r="A34" s="896" t="s">
        <v>476</v>
      </c>
      <c r="B34" s="1214">
        <f>IF(B26&lt;B28/2,B26,IF(B26&gt;B28,B28/2,B28/2))</f>
        <v>0</v>
      </c>
      <c r="C34" s="1215"/>
      <c r="D34" s="897"/>
      <c r="E34" s="898"/>
      <c r="G34" s="889"/>
    </row>
    <row r="35" spans="1:7" ht="18.600000000000001" customHeight="1">
      <c r="A35" s="899" t="s">
        <v>453</v>
      </c>
      <c r="B35" s="1214">
        <v>0</v>
      </c>
      <c r="C35" s="1215"/>
      <c r="D35" s="887"/>
      <c r="E35" s="888"/>
      <c r="G35" s="889"/>
    </row>
    <row r="36" spans="1:7" ht="18.399999999999999" customHeight="1" thickBot="1">
      <c r="A36" s="900" t="s">
        <v>454</v>
      </c>
      <c r="B36" s="1191">
        <f>+B33+B34-B35</f>
        <v>14</v>
      </c>
      <c r="C36" s="1192"/>
      <c r="D36" s="901"/>
      <c r="E36" s="868"/>
      <c r="F36" s="848"/>
      <c r="G36" s="849"/>
    </row>
    <row r="37" spans="1:7" ht="13.5" thickBot="1">
      <c r="A37" s="902"/>
    </row>
    <row r="38" spans="1:7" ht="18.399999999999999" customHeight="1">
      <c r="A38" s="903" t="s">
        <v>455</v>
      </c>
      <c r="B38" s="1193"/>
      <c r="C38" s="1194"/>
      <c r="D38" s="1194"/>
      <c r="E38" s="1194"/>
      <c r="F38" s="1194"/>
      <c r="G38" s="1195"/>
    </row>
    <row r="39" spans="1:7" ht="18.75" customHeight="1">
      <c r="A39" s="904" t="s">
        <v>456</v>
      </c>
      <c r="B39" s="1196" t="s">
        <v>477</v>
      </c>
      <c r="C39" s="1197"/>
      <c r="D39" s="1197"/>
      <c r="E39" s="1197"/>
      <c r="F39" s="1197"/>
      <c r="G39" s="1198"/>
    </row>
    <row r="40" spans="1:7" ht="12" customHeight="1">
      <c r="A40" s="902"/>
      <c r="G40" s="833"/>
    </row>
    <row r="41" spans="1:7" ht="12" customHeight="1">
      <c r="A41" s="1199"/>
      <c r="B41" s="1201"/>
      <c r="C41" s="1202"/>
      <c r="D41" s="1202"/>
      <c r="E41" s="1202"/>
      <c r="F41" s="1202"/>
      <c r="G41" s="1203"/>
    </row>
    <row r="42" spans="1:7" ht="12" customHeight="1">
      <c r="A42" s="1200"/>
      <c r="B42" s="1204"/>
      <c r="C42" s="1205"/>
      <c r="D42" s="1205"/>
      <c r="E42" s="1205"/>
      <c r="F42" s="1205"/>
      <c r="G42" s="1206"/>
    </row>
    <row r="43" spans="1:7" ht="12" customHeight="1">
      <c r="A43" s="905" t="s">
        <v>478</v>
      </c>
      <c r="B43" s="906" t="s">
        <v>479</v>
      </c>
      <c r="D43" s="852"/>
      <c r="G43" s="833"/>
    </row>
    <row r="44" spans="1:7" ht="13.5" customHeight="1" thickBot="1">
      <c r="A44" s="1018">
        <f ca="1">TODAY()</f>
        <v>45608</v>
      </c>
      <c r="B44" s="1019" t="str">
        <f>"gez. "&amp;AnmeldeListe!C9</f>
        <v>gez. Orga1</v>
      </c>
      <c r="C44" s="848"/>
      <c r="D44" s="907"/>
      <c r="E44" s="848"/>
      <c r="F44" s="848"/>
      <c r="G44" s="849"/>
    </row>
    <row r="45" spans="1:7" ht="15.6" customHeight="1"/>
    <row r="46" spans="1:7" ht="15.6" customHeight="1"/>
  </sheetData>
  <mergeCells count="41">
    <mergeCell ref="A3:D3"/>
    <mergeCell ref="B4:D4"/>
    <mergeCell ref="F4:G4"/>
    <mergeCell ref="B6:D6"/>
    <mergeCell ref="B8:D8"/>
    <mergeCell ref="F8:G8"/>
    <mergeCell ref="B10:D10"/>
    <mergeCell ref="F10:G10"/>
    <mergeCell ref="D12:E12"/>
    <mergeCell ref="F12:G12"/>
    <mergeCell ref="D14:E14"/>
    <mergeCell ref="F14:G14"/>
    <mergeCell ref="B24:G24"/>
    <mergeCell ref="D15:E15"/>
    <mergeCell ref="F15:G15"/>
    <mergeCell ref="D16:E16"/>
    <mergeCell ref="F16:G16"/>
    <mergeCell ref="D17:E17"/>
    <mergeCell ref="F17:G17"/>
    <mergeCell ref="B19:C19"/>
    <mergeCell ref="B20:C20"/>
    <mergeCell ref="B21:C21"/>
    <mergeCell ref="B22:C22"/>
    <mergeCell ref="B23:C23"/>
    <mergeCell ref="B35:C35"/>
    <mergeCell ref="B26:C26"/>
    <mergeCell ref="B27:C27"/>
    <mergeCell ref="B28:C28"/>
    <mergeCell ref="B29:C29"/>
    <mergeCell ref="B30:C30"/>
    <mergeCell ref="B31:C31"/>
    <mergeCell ref="D31:G31"/>
    <mergeCell ref="B32:C32"/>
    <mergeCell ref="D32:G32"/>
    <mergeCell ref="B33:C33"/>
    <mergeCell ref="B34:C34"/>
    <mergeCell ref="B36:C36"/>
    <mergeCell ref="B38:G38"/>
    <mergeCell ref="B39:G39"/>
    <mergeCell ref="A41:A42"/>
    <mergeCell ref="B41:G42"/>
  </mergeCells>
  <hyperlinks>
    <hyperlink ref="I1" r:id="rId1" display="../../../../../:u:/r/sites/S-348-O-Skitour/Freigegebene Dokumente/General/DAV SkiBergsteiger Orga/Abrechnungsformular PKWund%C3%96ffi-Fahrten_Muster_mitF%C3%9CL (S-348-O-Sektionsteam).url?csf=1&amp;web=1&amp;e=IKhAQW" xr:uid="{3403C8E5-2460-4447-93D8-FE62B776BFDD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E18F9-EA96-4FA5-A522-EC794354DC87}">
  <sheetPr>
    <tabColor theme="4"/>
  </sheetPr>
  <dimension ref="A1:N49"/>
  <sheetViews>
    <sheetView workbookViewId="0">
      <selection activeCell="I2" sqref="I2"/>
    </sheetView>
  </sheetViews>
  <sheetFormatPr defaultColWidth="11.5703125" defaultRowHeight="12.75"/>
  <cols>
    <col min="1" max="1" width="28.28515625" style="806" customWidth="1"/>
    <col min="2" max="2" width="8.28515625" style="806" customWidth="1"/>
    <col min="3" max="3" width="10.28515625" style="806" customWidth="1"/>
    <col min="4" max="4" width="7.85546875" style="806" customWidth="1"/>
    <col min="5" max="5" width="10" style="806" customWidth="1"/>
    <col min="6" max="6" width="11.140625" style="806" customWidth="1"/>
    <col min="7" max="7" width="11.7109375" style="806" customWidth="1"/>
    <col min="8" max="8" width="10.28515625" style="806" customWidth="1"/>
    <col min="9" max="9" width="44.140625" style="806" customWidth="1"/>
    <col min="10" max="16384" width="11.5703125" style="806"/>
  </cols>
  <sheetData>
    <row r="1" spans="1:9" ht="38.25">
      <c r="A1" s="853" t="s">
        <v>480</v>
      </c>
      <c r="B1" s="854"/>
      <c r="C1" s="854"/>
      <c r="D1" s="854"/>
      <c r="E1" s="854"/>
      <c r="F1" s="854"/>
      <c r="G1" s="855"/>
      <c r="H1" s="850" t="s">
        <v>417</v>
      </c>
      <c r="I1" s="1010" t="s">
        <v>418</v>
      </c>
    </row>
    <row r="2" spans="1:9" ht="16.5">
      <c r="A2" s="856" t="s">
        <v>458</v>
      </c>
      <c r="B2" s="845"/>
      <c r="C2" s="845"/>
      <c r="D2" s="845"/>
      <c r="E2" s="845"/>
      <c r="F2" s="845"/>
      <c r="G2" s="857"/>
      <c r="I2" s="1023" t="str">
        <f>HYPERLINK("mailto:"&amp;VLOOKUP("Schatzmeisterin",HilfeListe!B15:C36,2,0)&amp;"?Subject=Abrechnung PKW " &amp;AnmeldeListe!C2&amp;": "&amp;AnmeldeListe!C3&amp;
"&amp;cc="&amp;VLOOKUP(AnmeldeListe!C1,HilfeListe!B15:C36,2,0)&amp;
"&amp;body=" &amp; "Hallo Schatzmeister*in,%0A%0Aich bitte um Kostenerstattung"  &amp; "%0A%0A&lt;Screenshot einfügen&gt;" &amp; "%0A%0ALiebe Grüße "  &amp; AnmeldeListe!C1 &amp; "/"&amp; AnmeldeListe!B9 &amp;" " &amp; AnmeldeListe!C9,"Email an Sektion: Abrechnung PKW ")</f>
        <v xml:space="preserve">Email an Sektion: Abrechnung PKW </v>
      </c>
    </row>
    <row r="3" spans="1:9" ht="37.9" customHeight="1" thickBot="1">
      <c r="A3" s="1187" t="s">
        <v>481</v>
      </c>
      <c r="B3" s="1263"/>
      <c r="C3" s="1263"/>
      <c r="D3" s="1263"/>
      <c r="E3" s="847"/>
      <c r="F3" s="847"/>
      <c r="G3" s="908"/>
    </row>
    <row r="4" spans="1:9" ht="15.75">
      <c r="A4" s="909" t="s">
        <v>421</v>
      </c>
      <c r="B4" s="1264" t="str">
        <f>AnmeldeListe!C1</f>
        <v>Sektion</v>
      </c>
      <c r="C4" s="1265"/>
      <c r="D4" s="1266"/>
      <c r="E4" s="910" t="s">
        <v>423</v>
      </c>
      <c r="F4" s="911" t="s">
        <v>482</v>
      </c>
      <c r="G4" s="912" t="s">
        <v>483</v>
      </c>
    </row>
    <row r="5" spans="1:9" ht="6" customHeight="1">
      <c r="A5" s="859"/>
      <c r="B5" s="860"/>
      <c r="C5" s="861"/>
      <c r="D5" s="862"/>
      <c r="G5" s="833"/>
    </row>
    <row r="6" spans="1:9" ht="15.75">
      <c r="A6" s="913" t="s">
        <v>422</v>
      </c>
      <c r="B6" s="1267" t="str">
        <f>AnmeldeListe!C5</f>
        <v>&lt;Ort&gt;</v>
      </c>
      <c r="C6" s="1268"/>
      <c r="D6" s="1269"/>
      <c r="E6" s="914"/>
      <c r="F6" s="1013">
        <f>AnmeldeListe!B4</f>
        <v>45842</v>
      </c>
      <c r="G6" s="1014">
        <f>AnmeldeListe!C4</f>
        <v>45842</v>
      </c>
    </row>
    <row r="7" spans="1:9" ht="6" customHeight="1">
      <c r="A7" s="859"/>
      <c r="B7" s="860"/>
      <c r="C7" s="861"/>
      <c r="D7" s="861"/>
      <c r="E7" s="915"/>
      <c r="F7" s="865"/>
      <c r="G7" s="833"/>
    </row>
    <row r="8" spans="1:9" ht="15.75">
      <c r="A8" s="808" t="s">
        <v>424</v>
      </c>
      <c r="B8" s="1246" t="str">
        <f>AnmeldeListe!C9</f>
        <v>Orga1</v>
      </c>
      <c r="C8" s="1251"/>
      <c r="D8" s="1252"/>
      <c r="E8" s="916" t="s">
        <v>484</v>
      </c>
      <c r="F8" s="1270" t="str">
        <f>AnmeldeListe!C2</f>
        <v>V-2025-xx-xx</v>
      </c>
      <c r="G8" s="1271"/>
    </row>
    <row r="9" spans="1:9" ht="15.75" customHeight="1">
      <c r="A9" s="902"/>
      <c r="G9" s="833"/>
    </row>
    <row r="10" spans="1:9">
      <c r="A10" s="917" t="s">
        <v>485</v>
      </c>
      <c r="B10" s="1012">
        <f>Dauer</f>
        <v>3</v>
      </c>
      <c r="C10" s="858"/>
      <c r="G10" s="833"/>
    </row>
    <row r="11" spans="1:9" ht="12" customHeight="1">
      <c r="A11" s="902"/>
      <c r="G11" s="833"/>
    </row>
    <row r="12" spans="1:9" ht="24" customHeight="1">
      <c r="A12" s="919" t="s">
        <v>425</v>
      </c>
      <c r="B12" s="918" t="s">
        <v>426</v>
      </c>
      <c r="C12" s="920" t="s">
        <v>486</v>
      </c>
      <c r="D12" s="918" t="s">
        <v>427</v>
      </c>
      <c r="E12" s="920" t="s">
        <v>486</v>
      </c>
      <c r="F12" s="920" t="s">
        <v>428</v>
      </c>
      <c r="G12" s="921" t="s">
        <v>429</v>
      </c>
    </row>
    <row r="13" spans="1:9" ht="9.75" customHeight="1">
      <c r="A13" s="922"/>
      <c r="B13" s="873"/>
      <c r="C13" s="874"/>
      <c r="D13" s="873"/>
      <c r="E13" s="874"/>
      <c r="F13" s="874"/>
      <c r="G13" s="833"/>
    </row>
    <row r="14" spans="1:9" ht="18.399999999999999" customHeight="1">
      <c r="A14" s="815" t="s">
        <v>460</v>
      </c>
      <c r="B14" s="923">
        <v>1</v>
      </c>
      <c r="C14" s="1016">
        <f>Dauer-1</f>
        <v>2</v>
      </c>
      <c r="D14" s="923"/>
      <c r="E14" s="924" t="str">
        <f>IF(D14&gt;0,($G$6-$F$6)," ")</f>
        <v xml:space="preserve"> </v>
      </c>
      <c r="F14" s="924">
        <f>+B14+D14</f>
        <v>1</v>
      </c>
      <c r="G14" s="820"/>
    </row>
    <row r="15" spans="1:9" ht="18.399999999999999" customHeight="1">
      <c r="A15" s="815" t="s">
        <v>431</v>
      </c>
      <c r="B15" s="1015">
        <f>AnmeldeListe!A8-1</f>
        <v>1</v>
      </c>
      <c r="C15" s="1016">
        <f>C14</f>
        <v>2</v>
      </c>
      <c r="D15" s="923"/>
      <c r="E15" s="924" t="str">
        <f>IF(D15&gt;0,($G$6-$F$6)," ")</f>
        <v xml:space="preserve"> </v>
      </c>
      <c r="F15" s="924">
        <f>+B15+D15</f>
        <v>1</v>
      </c>
      <c r="G15" s="820"/>
    </row>
    <row r="16" spans="1:9" ht="18.399999999999999" customHeight="1">
      <c r="A16" s="815" t="s">
        <v>432</v>
      </c>
      <c r="B16" s="923"/>
      <c r="C16" s="924" t="str">
        <f>IF(B16&gt;0,(G6-F6)," ")</f>
        <v xml:space="preserve"> </v>
      </c>
      <c r="D16" s="923"/>
      <c r="E16" s="924" t="str">
        <f>IF(D16&gt;0,($G$6-$F$6)," ")</f>
        <v xml:space="preserve"> </v>
      </c>
      <c r="F16" s="924">
        <f>+B16+D16</f>
        <v>0</v>
      </c>
      <c r="G16" s="820"/>
    </row>
    <row r="17" spans="1:14" ht="20.100000000000001" customHeight="1">
      <c r="A17" s="808" t="s">
        <v>433</v>
      </c>
      <c r="B17" s="925"/>
      <c r="C17" s="926"/>
      <c r="D17" s="926"/>
      <c r="E17" s="925"/>
      <c r="F17" s="927">
        <f>F14+F15</f>
        <v>2</v>
      </c>
      <c r="G17" s="820"/>
    </row>
    <row r="18" spans="1:14" ht="20.100000000000001" customHeight="1" thickBot="1">
      <c r="A18" s="928" t="s">
        <v>487</v>
      </c>
      <c r="B18" s="929">
        <f>IF(B10&gt;2,3,IF(B10&gt;1,2,IF(B10&gt;0,1)))</f>
        <v>3</v>
      </c>
      <c r="C18" s="868"/>
      <c r="D18" s="868"/>
      <c r="E18" s="868"/>
      <c r="F18" s="930"/>
      <c r="G18" s="849"/>
    </row>
    <row r="19" spans="1:14" ht="6" customHeight="1" thickBot="1">
      <c r="A19" s="898"/>
      <c r="B19" s="931"/>
      <c r="C19" s="866"/>
      <c r="D19" s="866"/>
      <c r="E19" s="866"/>
      <c r="F19" s="932"/>
    </row>
    <row r="20" spans="1:14" ht="21.6" customHeight="1">
      <c r="A20" s="875" t="s">
        <v>461</v>
      </c>
      <c r="B20" s="812" t="s">
        <v>488</v>
      </c>
      <c r="C20" s="812" t="s">
        <v>489</v>
      </c>
      <c r="D20" s="876"/>
      <c r="E20" s="876"/>
      <c r="F20" s="876"/>
      <c r="G20" s="877"/>
    </row>
    <row r="21" spans="1:14" ht="20.100000000000001" customHeight="1">
      <c r="A21" s="829" t="s">
        <v>463</v>
      </c>
      <c r="B21" s="933">
        <v>25</v>
      </c>
      <c r="C21" s="933">
        <v>75</v>
      </c>
      <c r="D21" s="845"/>
      <c r="E21" s="845"/>
      <c r="F21" s="845"/>
      <c r="G21" s="857"/>
      <c r="I21" s="834"/>
      <c r="K21" s="834"/>
    </row>
    <row r="22" spans="1:14" ht="18.399999999999999" customHeight="1">
      <c r="A22" s="829" t="s">
        <v>464</v>
      </c>
      <c r="B22" s="933">
        <v>50</v>
      </c>
      <c r="C22" s="933">
        <v>150</v>
      </c>
      <c r="D22" s="845"/>
      <c r="E22" s="845"/>
      <c r="F22" s="845"/>
      <c r="G22" s="857"/>
      <c r="I22" s="834"/>
      <c r="J22" s="834"/>
      <c r="L22" s="834"/>
    </row>
    <row r="23" spans="1:14" ht="18.399999999999999" customHeight="1">
      <c r="A23" s="829" t="s">
        <v>465</v>
      </c>
      <c r="B23" s="933">
        <v>75</v>
      </c>
      <c r="C23" s="933">
        <v>225</v>
      </c>
      <c r="D23" s="845"/>
      <c r="E23" s="845"/>
      <c r="F23" s="845"/>
      <c r="G23" s="857"/>
      <c r="I23" s="834"/>
      <c r="J23" s="834"/>
      <c r="L23" s="834"/>
    </row>
    <row r="24" spans="1:14" ht="18.399999999999999" customHeight="1" thickBot="1">
      <c r="A24" s="878" t="s">
        <v>466</v>
      </c>
      <c r="B24" s="934">
        <v>100</v>
      </c>
      <c r="C24" s="934">
        <v>300</v>
      </c>
      <c r="D24" s="847"/>
      <c r="E24" s="847"/>
      <c r="F24" s="847"/>
      <c r="G24" s="908"/>
      <c r="I24" s="834"/>
      <c r="J24" s="834"/>
      <c r="L24" s="834"/>
    </row>
    <row r="25" spans="1:14" ht="6" customHeight="1" thickBot="1">
      <c r="A25" s="888"/>
      <c r="B25" s="935"/>
      <c r="C25" s="881"/>
      <c r="D25" s="881"/>
      <c r="E25" s="881"/>
      <c r="F25" s="881"/>
      <c r="G25" s="881"/>
      <c r="H25" s="850"/>
      <c r="I25" s="850"/>
      <c r="J25" s="834"/>
      <c r="K25" s="834"/>
      <c r="N25" s="834"/>
    </row>
    <row r="26" spans="1:14" ht="18.399999999999999" customHeight="1">
      <c r="A26" s="875" t="s">
        <v>490</v>
      </c>
      <c r="B26" s="936"/>
      <c r="C26" s="937"/>
      <c r="D26" s="937"/>
      <c r="E26" s="938"/>
      <c r="F26" s="812" t="s">
        <v>471</v>
      </c>
      <c r="G26" s="939"/>
    </row>
    <row r="27" spans="1:14" ht="18.75" customHeight="1">
      <c r="A27" s="940" t="s">
        <v>491</v>
      </c>
      <c r="B27" s="941"/>
      <c r="C27" s="942"/>
      <c r="D27" s="942"/>
      <c r="E27" s="943"/>
      <c r="F27" s="944">
        <v>0</v>
      </c>
      <c r="G27" s="945"/>
    </row>
    <row r="28" spans="1:14" ht="18.75" customHeight="1">
      <c r="A28" s="1255" t="s">
        <v>492</v>
      </c>
      <c r="B28" s="1255"/>
      <c r="C28" s="1255"/>
      <c r="D28" s="1255"/>
      <c r="E28" s="1255"/>
      <c r="F28" s="946">
        <v>0</v>
      </c>
      <c r="G28" s="945"/>
    </row>
    <row r="29" spans="1:14" ht="15" customHeight="1">
      <c r="A29" s="1256" t="s">
        <v>5</v>
      </c>
      <c r="B29" s="886" t="s">
        <v>107</v>
      </c>
      <c r="C29" s="947" t="s">
        <v>493</v>
      </c>
      <c r="D29" s="942"/>
      <c r="E29" s="943"/>
      <c r="F29" s="948"/>
      <c r="G29" s="945"/>
    </row>
    <row r="30" spans="1:14" ht="16.5" customHeight="1">
      <c r="A30" s="1257"/>
      <c r="B30" s="949">
        <f>IF(B10&gt;7,6,(B10-1))</f>
        <v>2</v>
      </c>
      <c r="C30" s="950">
        <v>20</v>
      </c>
      <c r="D30" s="951"/>
      <c r="E30" s="943"/>
      <c r="F30" s="892">
        <f>IF(F28&gt;0,(B30-F28)*C30,B30*C30)</f>
        <v>40</v>
      </c>
      <c r="G30" s="952"/>
    </row>
    <row r="31" spans="1:14" ht="16.5" customHeight="1">
      <c r="A31" s="885" t="s">
        <v>450</v>
      </c>
      <c r="B31" s="953"/>
      <c r="C31" s="954"/>
      <c r="D31" s="942"/>
      <c r="E31" s="943"/>
      <c r="F31" s="955"/>
      <c r="G31" s="945"/>
    </row>
    <row r="32" spans="1:14" ht="16.5" customHeight="1">
      <c r="A32" s="956" t="s">
        <v>494</v>
      </c>
      <c r="B32" s="953">
        <f>IF(B18&gt;1,2,1)</f>
        <v>2</v>
      </c>
      <c r="C32" s="954">
        <v>14</v>
      </c>
      <c r="D32" s="942"/>
      <c r="E32" s="943"/>
      <c r="F32" s="957">
        <f>+B32*C32</f>
        <v>28</v>
      </c>
      <c r="G32" s="945"/>
    </row>
    <row r="33" spans="1:7" ht="16.5" customHeight="1">
      <c r="A33" s="956" t="s">
        <v>495</v>
      </c>
      <c r="B33" s="953">
        <f>IF(B10&gt;7,5,(B10-2))</f>
        <v>1</v>
      </c>
      <c r="C33" s="954">
        <v>28</v>
      </c>
      <c r="D33" s="942"/>
      <c r="E33" s="943"/>
      <c r="F33" s="957">
        <f>+B33*C33</f>
        <v>28</v>
      </c>
      <c r="G33" s="945"/>
    </row>
    <row r="34" spans="1:7" ht="16.5" customHeight="1">
      <c r="A34" s="956" t="s">
        <v>382</v>
      </c>
      <c r="B34" s="941"/>
      <c r="C34" s="958"/>
      <c r="D34" s="942"/>
      <c r="E34" s="943"/>
      <c r="F34" s="957"/>
      <c r="G34" s="945"/>
    </row>
    <row r="35" spans="1:7" ht="16.5" customHeight="1">
      <c r="A35" s="895" t="s">
        <v>454</v>
      </c>
      <c r="B35" s="959"/>
      <c r="C35" s="960"/>
      <c r="D35" s="961"/>
      <c r="E35" s="962"/>
      <c r="F35" s="963">
        <f>SUM(F27:F34)</f>
        <v>96</v>
      </c>
      <c r="G35" s="945"/>
    </row>
    <row r="36" spans="1:7" ht="27" customHeight="1" thickBot="1">
      <c r="A36" s="964" t="s">
        <v>476</v>
      </c>
      <c r="B36" s="965"/>
      <c r="C36" s="966"/>
      <c r="D36" s="966"/>
      <c r="E36" s="967"/>
      <c r="F36" s="968">
        <f>IF($F$17&gt;20,$B$24,IF($F$17&gt;12,$B$23,IF($F$17&gt;7,$B$22,IF($F$17&gt;1,$B$21))))*$B$18</f>
        <v>75</v>
      </c>
      <c r="G36" s="945"/>
    </row>
    <row r="37" spans="1:7" ht="18.600000000000001" customHeight="1" thickBot="1">
      <c r="A37" s="969" t="s">
        <v>453</v>
      </c>
      <c r="B37" s="970"/>
      <c r="C37" s="971"/>
      <c r="D37" s="971"/>
      <c r="E37" s="972"/>
      <c r="F37" s="973">
        <v>100</v>
      </c>
      <c r="G37" s="974"/>
    </row>
    <row r="38" spans="1:7" ht="6" customHeight="1" thickBot="1">
      <c r="A38" s="902"/>
      <c r="B38" s="845"/>
      <c r="C38" s="845"/>
      <c r="D38" s="845"/>
      <c r="E38" s="845"/>
      <c r="F38" s="975"/>
      <c r="G38" s="833"/>
    </row>
    <row r="39" spans="1:7" ht="18.399999999999999" customHeight="1" thickBot="1">
      <c r="A39" s="976" t="s">
        <v>454</v>
      </c>
      <c r="B39" s="977"/>
      <c r="C39" s="978"/>
      <c r="D39" s="978"/>
      <c r="E39" s="979"/>
      <c r="F39" s="980">
        <f>+F35+F36-F37</f>
        <v>71</v>
      </c>
      <c r="G39" s="981"/>
    </row>
    <row r="40" spans="1:7" ht="6" customHeight="1" thickBot="1">
      <c r="A40" s="869"/>
      <c r="G40" s="833"/>
    </row>
    <row r="41" spans="1:7" ht="18.399999999999999" customHeight="1">
      <c r="A41" s="903" t="s">
        <v>455</v>
      </c>
      <c r="B41" s="1258"/>
      <c r="C41" s="1258"/>
      <c r="D41" s="1258"/>
      <c r="E41" s="1258"/>
      <c r="F41" s="1258"/>
      <c r="G41" s="1259"/>
    </row>
    <row r="42" spans="1:7" ht="18.75" customHeight="1">
      <c r="A42" s="815" t="s">
        <v>456</v>
      </c>
      <c r="B42" s="1260" t="s">
        <v>457</v>
      </c>
      <c r="C42" s="1260"/>
      <c r="D42" s="1260"/>
      <c r="E42" s="1260"/>
      <c r="F42" s="1260"/>
      <c r="G42" s="1261"/>
    </row>
    <row r="43" spans="1:7" ht="12" customHeight="1">
      <c r="A43" s="1262"/>
      <c r="B43" s="1124"/>
      <c r="C43" s="1124"/>
      <c r="D43" s="1124"/>
      <c r="E43" s="1124"/>
      <c r="F43" s="1124"/>
      <c r="G43" s="1125"/>
    </row>
    <row r="44" spans="1:7" ht="12" customHeight="1">
      <c r="A44" s="1262"/>
      <c r="B44" s="1124"/>
      <c r="C44" s="1124"/>
      <c r="D44" s="1124"/>
      <c r="E44" s="1124"/>
      <c r="F44" s="1124"/>
      <c r="G44" s="1125"/>
    </row>
    <row r="45" spans="1:7" ht="12" customHeight="1">
      <c r="A45" s="1262"/>
      <c r="B45" s="1124"/>
      <c r="C45" s="1124"/>
      <c r="D45" s="1124"/>
      <c r="E45" s="1124"/>
      <c r="F45" s="1124"/>
      <c r="G45" s="1125"/>
    </row>
    <row r="46" spans="1:7" ht="12" customHeight="1">
      <c r="A46" s="982" t="s">
        <v>478</v>
      </c>
      <c r="B46" s="852" t="s">
        <v>479</v>
      </c>
      <c r="C46" s="1017"/>
      <c r="D46" s="852"/>
      <c r="G46" s="833"/>
    </row>
    <row r="47" spans="1:7" ht="13.5" customHeight="1" thickBot="1">
      <c r="A47" s="1018">
        <f ca="1">TODAY()</f>
        <v>45608</v>
      </c>
      <c r="B47" s="1019" t="str">
        <f>"gez. "&amp;AnmeldeListe!C9</f>
        <v>gez. Orga1</v>
      </c>
      <c r="C47" s="848"/>
      <c r="D47" s="907"/>
      <c r="E47" s="848"/>
      <c r="F47" s="848"/>
      <c r="G47" s="849"/>
    </row>
    <row r="48" spans="1:7" ht="15.6" customHeight="1"/>
    <row r="49" ht="15.6" customHeight="1"/>
  </sheetData>
  <mergeCells count="11">
    <mergeCell ref="A3:D3"/>
    <mergeCell ref="B4:D4"/>
    <mergeCell ref="B6:D6"/>
    <mergeCell ref="B8:D8"/>
    <mergeCell ref="F8:G8"/>
    <mergeCell ref="A28:E28"/>
    <mergeCell ref="A29:A30"/>
    <mergeCell ref="B41:G41"/>
    <mergeCell ref="B42:G42"/>
    <mergeCell ref="A43:A45"/>
    <mergeCell ref="B43:G45"/>
  </mergeCells>
  <hyperlinks>
    <hyperlink ref="I1" r:id="rId1" display="../../../../../:u:/r/sites/S-348-O-Skitour/Freigegebene Dokumente/General/DAV SkiBergsteiger Orga/Abrechnungsformular PKWund%C3%96ffi-Fahrten_Muster_mitF%C3%9CL (S-348-O-Sektionsteam).url?csf=1&amp;web=1&amp;e=IKhAQW" xr:uid="{D190C7F8-EE8A-48F2-8AB1-DFB9461CE79B}"/>
  </hyperlinks>
  <pageMargins left="0.70866141732283472" right="0.70866141732283472" top="0.59055118110236227" bottom="0.59055118110236227" header="0.31496062992125984" footer="0.31496062992125984"/>
  <pageSetup paperSize="9" orientation="portrait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5AA0-A5B2-440B-A8F7-8A74A48CBBDB}">
  <sheetPr>
    <tabColor theme="4" tint="0.59999389629810485"/>
  </sheetPr>
  <dimension ref="A1:N49"/>
  <sheetViews>
    <sheetView workbookViewId="0">
      <selection activeCell="I2" sqref="I2"/>
    </sheetView>
  </sheetViews>
  <sheetFormatPr defaultColWidth="11.5703125" defaultRowHeight="12.75"/>
  <cols>
    <col min="1" max="1" width="28.28515625" style="806" customWidth="1"/>
    <col min="2" max="2" width="8.28515625" style="806" customWidth="1"/>
    <col min="3" max="3" width="10.28515625" style="806" customWidth="1"/>
    <col min="4" max="4" width="7.85546875" style="806" customWidth="1"/>
    <col min="5" max="5" width="10" style="806" customWidth="1"/>
    <col min="6" max="6" width="11.140625" style="806" customWidth="1"/>
    <col min="7" max="7" width="11.7109375" style="806" customWidth="1"/>
    <col min="8" max="8" width="10.42578125" style="806" customWidth="1"/>
    <col min="9" max="9" width="40" style="806" customWidth="1"/>
    <col min="10" max="16384" width="11.5703125" style="806"/>
  </cols>
  <sheetData>
    <row r="1" spans="1:9" ht="38.25">
      <c r="A1" s="853" t="s">
        <v>480</v>
      </c>
      <c r="B1" s="854"/>
      <c r="C1" s="854"/>
      <c r="D1" s="854"/>
      <c r="E1" s="854"/>
      <c r="F1" s="854"/>
      <c r="G1" s="855"/>
      <c r="H1" s="850" t="s">
        <v>417</v>
      </c>
      <c r="I1" s="1010" t="s">
        <v>418</v>
      </c>
    </row>
    <row r="2" spans="1:9" ht="16.5">
      <c r="A2" s="856" t="s">
        <v>458</v>
      </c>
      <c r="B2" s="845"/>
      <c r="C2" s="845"/>
      <c r="D2" s="845"/>
      <c r="E2" s="845"/>
      <c r="F2" s="845"/>
      <c r="G2" s="857"/>
      <c r="I2" s="1023" t="str">
        <f>HYPERLINK("mailto:"&amp;VLOOKUP("Schatzmeisterin",HilfeListe!B15:C36,2,0)&amp;"?Subject=Abrechnung PKW " &amp;AnmeldeListe!C2&amp;": "&amp;AnmeldeListe!C3&amp;
"&amp;cc="&amp;VLOOKUP(AnmeldeListe!C1,HilfeListe!B15:C36,2,0)&amp;
"&amp;body=" &amp; "Hallo Schatzmeister*in,%0A%0Aich bitte um Kostenerstattung"  &amp; "%0A%0A&lt;Screenshot einfügen&gt;" &amp; "%0A%0ALiebe Grüße "  &amp; AnmeldeListe!C1 &amp; "/"&amp; AnmeldeListe!B9 &amp;" " &amp; AnmeldeListe!C9,"Email an Sektion: Abrechnung PKW ")</f>
        <v xml:space="preserve">Email an Sektion: Abrechnung PKW </v>
      </c>
    </row>
    <row r="3" spans="1:9" ht="37.9" customHeight="1" thickBot="1">
      <c r="A3" s="1187" t="s">
        <v>481</v>
      </c>
      <c r="B3" s="1263"/>
      <c r="C3" s="1263"/>
      <c r="D3" s="1263"/>
      <c r="E3" s="847"/>
      <c r="F3" s="847"/>
      <c r="G3" s="908"/>
    </row>
    <row r="4" spans="1:9" ht="15.75">
      <c r="A4" s="909" t="s">
        <v>421</v>
      </c>
      <c r="B4" s="1264" t="str">
        <f>AnmeldeListe!C1</f>
        <v>Sektion</v>
      </c>
      <c r="C4" s="1265"/>
      <c r="D4" s="1266"/>
      <c r="E4" s="910" t="s">
        <v>423</v>
      </c>
      <c r="F4" s="911" t="s">
        <v>482</v>
      </c>
      <c r="G4" s="912" t="s">
        <v>483</v>
      </c>
    </row>
    <row r="5" spans="1:9" ht="6" customHeight="1">
      <c r="A5" s="859"/>
      <c r="B5" s="860"/>
      <c r="C5" s="861"/>
      <c r="D5" s="862"/>
      <c r="G5" s="833"/>
    </row>
    <row r="6" spans="1:9" ht="15.75">
      <c r="A6" s="913" t="s">
        <v>422</v>
      </c>
      <c r="B6" s="1267" t="str">
        <f>AnmeldeListe!C5</f>
        <v>&lt;Ort&gt;</v>
      </c>
      <c r="C6" s="1268"/>
      <c r="D6" s="1269"/>
      <c r="E6" s="914"/>
      <c r="F6" s="1013">
        <f>AnmeldeListe!B4</f>
        <v>45842</v>
      </c>
      <c r="G6" s="1014">
        <f>AnmeldeListe!C4</f>
        <v>45842</v>
      </c>
    </row>
    <row r="7" spans="1:9" ht="6" customHeight="1">
      <c r="A7" s="859"/>
      <c r="B7" s="860"/>
      <c r="C7" s="861"/>
      <c r="D7" s="861"/>
      <c r="E7" s="915"/>
      <c r="F7" s="865"/>
      <c r="G7" s="833"/>
    </row>
    <row r="8" spans="1:9" ht="15.75">
      <c r="A8" s="808" t="s">
        <v>496</v>
      </c>
      <c r="B8" s="1246" t="str">
        <f>AnmeldeListe!C9</f>
        <v>Orga1</v>
      </c>
      <c r="C8" s="1251"/>
      <c r="D8" s="1252"/>
      <c r="E8" s="916" t="s">
        <v>484</v>
      </c>
      <c r="F8" s="1270" t="str">
        <f>AnmeldeListe!C2</f>
        <v>V-2025-xx-xx</v>
      </c>
      <c r="G8" s="1271"/>
    </row>
    <row r="9" spans="1:9" ht="15.75" customHeight="1">
      <c r="A9" s="902"/>
      <c r="G9" s="833"/>
    </row>
    <row r="10" spans="1:9">
      <c r="A10" s="917" t="s">
        <v>485</v>
      </c>
      <c r="B10" s="1012">
        <f>Dauer</f>
        <v>3</v>
      </c>
      <c r="C10" s="858"/>
      <c r="G10" s="833"/>
    </row>
    <row r="11" spans="1:9" ht="12" customHeight="1">
      <c r="A11" s="902"/>
      <c r="G11" s="833"/>
    </row>
    <row r="12" spans="1:9" ht="24" customHeight="1">
      <c r="A12" s="919" t="s">
        <v>425</v>
      </c>
      <c r="B12" s="918" t="s">
        <v>426</v>
      </c>
      <c r="C12" s="920" t="s">
        <v>486</v>
      </c>
      <c r="D12" s="918" t="s">
        <v>427</v>
      </c>
      <c r="E12" s="920" t="s">
        <v>486</v>
      </c>
      <c r="F12" s="920" t="s">
        <v>428</v>
      </c>
      <c r="G12" s="921" t="s">
        <v>429</v>
      </c>
    </row>
    <row r="13" spans="1:9" ht="9.75" customHeight="1">
      <c r="A13" s="922"/>
      <c r="B13" s="873"/>
      <c r="C13" s="874"/>
      <c r="D13" s="873"/>
      <c r="E13" s="874"/>
      <c r="F13" s="874"/>
      <c r="G13" s="833"/>
    </row>
    <row r="14" spans="1:9" ht="18.399999999999999" customHeight="1">
      <c r="A14" s="815" t="s">
        <v>460</v>
      </c>
      <c r="B14" s="923">
        <v>1</v>
      </c>
      <c r="C14" s="1016">
        <f>Dauer-1</f>
        <v>2</v>
      </c>
      <c r="D14" s="923">
        <f>'MT-öff-Org'!D14</f>
        <v>0</v>
      </c>
      <c r="E14" s="924" t="str">
        <f>IF(D14&gt;0,($G$6-$F$6)," ")</f>
        <v xml:space="preserve"> </v>
      </c>
      <c r="F14" s="924">
        <f>+B14+D14</f>
        <v>1</v>
      </c>
      <c r="G14" s="820"/>
    </row>
    <row r="15" spans="1:9" ht="18.399999999999999" customHeight="1">
      <c r="A15" s="815" t="s">
        <v>431</v>
      </c>
      <c r="B15" s="1015">
        <f>AnmeldeListe!A8-1</f>
        <v>1</v>
      </c>
      <c r="C15" s="1016">
        <f>C14</f>
        <v>2</v>
      </c>
      <c r="D15" s="923">
        <f>'MT-öff-Org'!D15</f>
        <v>0</v>
      </c>
      <c r="E15" s="924" t="str">
        <f>IF(D15&gt;0,($G$6-$F$6)," ")</f>
        <v xml:space="preserve"> </v>
      </c>
      <c r="F15" s="924">
        <f>+B15+D15</f>
        <v>1</v>
      </c>
      <c r="G15" s="820"/>
    </row>
    <row r="16" spans="1:9" ht="18.399999999999999" customHeight="1">
      <c r="A16" s="815" t="s">
        <v>432</v>
      </c>
      <c r="B16" s="923">
        <f>'MT-öff-Org'!B16</f>
        <v>0</v>
      </c>
      <c r="C16" s="924" t="str">
        <f>IF(B16&gt;0,(G6-F6)," ")</f>
        <v xml:space="preserve"> </v>
      </c>
      <c r="D16" s="923">
        <f>'MT-öff-Org'!D16</f>
        <v>0</v>
      </c>
      <c r="E16" s="924" t="str">
        <f>IF(D16&gt;0,($G$6-$F$6)," ")</f>
        <v xml:space="preserve"> </v>
      </c>
      <c r="F16" s="924">
        <f>+B16+D16</f>
        <v>0</v>
      </c>
      <c r="G16" s="820"/>
    </row>
    <row r="17" spans="1:14" ht="20.100000000000001" customHeight="1">
      <c r="A17" s="808" t="s">
        <v>433</v>
      </c>
      <c r="B17" s="926"/>
      <c r="C17" s="925"/>
      <c r="D17" s="926"/>
      <c r="E17" s="925"/>
      <c r="F17" s="927">
        <f>F14+F15</f>
        <v>2</v>
      </c>
      <c r="G17" s="820"/>
    </row>
    <row r="18" spans="1:14" ht="20.100000000000001" customHeight="1" thickBot="1">
      <c r="A18" s="928" t="s">
        <v>487</v>
      </c>
      <c r="B18" s="929">
        <f>IF(B10&gt;2,3,IF(B10&gt;1,2,IF(B10&gt;0,1)))</f>
        <v>3</v>
      </c>
      <c r="C18" s="868"/>
      <c r="D18" s="868"/>
      <c r="E18" s="868"/>
      <c r="F18" s="930"/>
      <c r="G18" s="849"/>
    </row>
    <row r="19" spans="1:14" ht="6" customHeight="1" thickBot="1">
      <c r="A19" s="898"/>
      <c r="B19" s="931"/>
      <c r="C19" s="866"/>
      <c r="D19" s="866"/>
      <c r="E19" s="866"/>
      <c r="F19" s="932"/>
    </row>
    <row r="20" spans="1:14" ht="21.6" customHeight="1">
      <c r="A20" s="875" t="s">
        <v>461</v>
      </c>
      <c r="B20" s="812" t="s">
        <v>488</v>
      </c>
      <c r="C20" s="812" t="s">
        <v>489</v>
      </c>
      <c r="D20" s="983"/>
      <c r="E20" s="983"/>
      <c r="F20" s="983"/>
      <c r="G20" s="984"/>
    </row>
    <row r="21" spans="1:14" ht="20.100000000000001" customHeight="1">
      <c r="A21" s="829" t="s">
        <v>463</v>
      </c>
      <c r="B21" s="933">
        <v>25</v>
      </c>
      <c r="C21" s="933">
        <v>75</v>
      </c>
      <c r="G21" s="833"/>
      <c r="I21" s="834"/>
      <c r="K21" s="834"/>
    </row>
    <row r="22" spans="1:14" ht="18.399999999999999" customHeight="1">
      <c r="A22" s="829" t="s">
        <v>464</v>
      </c>
      <c r="B22" s="933">
        <v>50</v>
      </c>
      <c r="C22" s="933">
        <v>150</v>
      </c>
      <c r="G22" s="833"/>
      <c r="I22" s="834"/>
      <c r="J22" s="834"/>
      <c r="L22" s="834"/>
    </row>
    <row r="23" spans="1:14" ht="18.399999999999999" customHeight="1">
      <c r="A23" s="829" t="s">
        <v>465</v>
      </c>
      <c r="B23" s="933">
        <v>75</v>
      </c>
      <c r="C23" s="933">
        <v>225</v>
      </c>
      <c r="G23" s="833"/>
      <c r="I23" s="834"/>
      <c r="J23" s="834"/>
      <c r="L23" s="834"/>
    </row>
    <row r="24" spans="1:14" ht="18.399999999999999" customHeight="1" thickBot="1">
      <c r="A24" s="878" t="s">
        <v>466</v>
      </c>
      <c r="B24" s="934">
        <v>100</v>
      </c>
      <c r="C24" s="934">
        <v>300</v>
      </c>
      <c r="D24" s="848"/>
      <c r="E24" s="848"/>
      <c r="F24" s="848"/>
      <c r="G24" s="849"/>
      <c r="I24" s="834"/>
      <c r="J24" s="834"/>
      <c r="L24" s="834"/>
    </row>
    <row r="25" spans="1:14" ht="6" customHeight="1" thickBot="1">
      <c r="A25" s="888"/>
      <c r="B25" s="935"/>
      <c r="C25" s="881"/>
      <c r="D25" s="881"/>
      <c r="E25" s="881"/>
      <c r="F25" s="881"/>
      <c r="G25" s="881"/>
      <c r="H25" s="850"/>
      <c r="I25" s="850"/>
      <c r="J25" s="834"/>
      <c r="K25" s="834"/>
      <c r="N25" s="834"/>
    </row>
    <row r="26" spans="1:14" ht="18.399999999999999" customHeight="1">
      <c r="A26" s="875" t="s">
        <v>490</v>
      </c>
      <c r="B26" s="936"/>
      <c r="C26" s="937"/>
      <c r="D26" s="937"/>
      <c r="E26" s="938"/>
      <c r="F26" s="812" t="s">
        <v>471</v>
      </c>
      <c r="G26" s="939"/>
    </row>
    <row r="27" spans="1:14" ht="18.75" customHeight="1">
      <c r="A27" s="940" t="s">
        <v>497</v>
      </c>
      <c r="B27" s="941"/>
      <c r="C27" s="942"/>
      <c r="D27" s="942"/>
      <c r="E27" s="943"/>
      <c r="F27" s="944">
        <v>0</v>
      </c>
      <c r="G27" s="945"/>
    </row>
    <row r="28" spans="1:14" ht="18.75" customHeight="1">
      <c r="A28" s="1255" t="s">
        <v>492</v>
      </c>
      <c r="B28" s="1255"/>
      <c r="C28" s="1255"/>
      <c r="D28" s="1255"/>
      <c r="E28" s="1255"/>
      <c r="F28" s="946">
        <v>0</v>
      </c>
      <c r="G28" s="945"/>
    </row>
    <row r="29" spans="1:14" ht="15" customHeight="1">
      <c r="A29" s="1256" t="s">
        <v>5</v>
      </c>
      <c r="B29" s="886" t="s">
        <v>107</v>
      </c>
      <c r="C29" s="947" t="s">
        <v>493</v>
      </c>
      <c r="D29" s="942"/>
      <c r="E29" s="943"/>
      <c r="F29" s="948"/>
      <c r="G29" s="945"/>
    </row>
    <row r="30" spans="1:14" ht="16.5" customHeight="1">
      <c r="A30" s="1257"/>
      <c r="B30" s="949">
        <f>IF(B10&gt;7,6,B10-1)</f>
        <v>2</v>
      </c>
      <c r="C30" s="950">
        <v>20</v>
      </c>
      <c r="D30" s="951"/>
      <c r="E30" s="943"/>
      <c r="F30" s="957">
        <f>IF(F28&gt;0,(B30-F28)*C30,B30*C30)</f>
        <v>40</v>
      </c>
      <c r="G30" s="893"/>
    </row>
    <row r="31" spans="1:14" ht="16.5" customHeight="1">
      <c r="A31" s="885" t="s">
        <v>450</v>
      </c>
      <c r="B31" s="953"/>
      <c r="C31" s="954"/>
      <c r="D31" s="942"/>
      <c r="E31" s="943"/>
      <c r="F31" s="955"/>
      <c r="G31" s="945"/>
    </row>
    <row r="32" spans="1:14" ht="16.5" customHeight="1">
      <c r="A32" s="956" t="s">
        <v>494</v>
      </c>
      <c r="B32" s="953">
        <f>IF(B18&gt;1,2,1)</f>
        <v>2</v>
      </c>
      <c r="C32" s="954">
        <v>14</v>
      </c>
      <c r="D32" s="942"/>
      <c r="E32" s="943"/>
      <c r="F32" s="957">
        <f>+B32*C32</f>
        <v>28</v>
      </c>
      <c r="G32" s="945"/>
    </row>
    <row r="33" spans="1:7" ht="16.5" customHeight="1">
      <c r="A33" s="956" t="s">
        <v>495</v>
      </c>
      <c r="B33" s="953">
        <f>IF(B10&gt;7,5,IF(B10&gt;2,(B10-2),0))</f>
        <v>1</v>
      </c>
      <c r="C33" s="954">
        <v>28</v>
      </c>
      <c r="D33" s="942"/>
      <c r="E33" s="943"/>
      <c r="F33" s="957">
        <f>+B33*C33</f>
        <v>28</v>
      </c>
      <c r="G33" s="945"/>
    </row>
    <row r="34" spans="1:7" ht="16.5" customHeight="1">
      <c r="A34" s="956" t="s">
        <v>382</v>
      </c>
      <c r="B34" s="941"/>
      <c r="C34" s="958"/>
      <c r="D34" s="942"/>
      <c r="E34" s="943"/>
      <c r="F34" s="957"/>
      <c r="G34" s="945"/>
    </row>
    <row r="35" spans="1:7" ht="16.5" customHeight="1">
      <c r="A35" s="895" t="s">
        <v>454</v>
      </c>
      <c r="B35" s="959"/>
      <c r="C35" s="960"/>
      <c r="D35" s="961"/>
      <c r="E35" s="962"/>
      <c r="F35" s="963">
        <f>SUM(F27:F34)</f>
        <v>96</v>
      </c>
      <c r="G35" s="945"/>
    </row>
    <row r="36" spans="1:7" ht="27" customHeight="1" thickBot="1">
      <c r="A36" s="964" t="s">
        <v>476</v>
      </c>
      <c r="B36" s="965"/>
      <c r="C36" s="966"/>
      <c r="D36" s="966"/>
      <c r="E36" s="967"/>
      <c r="F36" s="985" t="s">
        <v>498</v>
      </c>
      <c r="G36" s="945"/>
    </row>
    <row r="37" spans="1:7" ht="18.600000000000001" customHeight="1" thickBot="1">
      <c r="A37" s="969" t="s">
        <v>453</v>
      </c>
      <c r="B37" s="970"/>
      <c r="C37" s="971"/>
      <c r="D37" s="971"/>
      <c r="E37" s="972"/>
      <c r="F37" s="973" t="s">
        <v>498</v>
      </c>
      <c r="G37" s="974"/>
    </row>
    <row r="38" spans="1:7" ht="6" customHeight="1" thickBot="1">
      <c r="A38" s="902"/>
      <c r="B38" s="845"/>
      <c r="C38" s="845"/>
      <c r="D38" s="845"/>
      <c r="E38" s="845"/>
      <c r="F38" s="975"/>
      <c r="G38" s="833"/>
    </row>
    <row r="39" spans="1:7" ht="18.399999999999999" customHeight="1" thickBot="1">
      <c r="A39" s="976" t="s">
        <v>454</v>
      </c>
      <c r="B39" s="977"/>
      <c r="C39" s="978"/>
      <c r="D39" s="978"/>
      <c r="E39" s="979"/>
      <c r="F39" s="980">
        <f>F35</f>
        <v>96</v>
      </c>
      <c r="G39" s="981"/>
    </row>
    <row r="40" spans="1:7" ht="6" customHeight="1" thickBot="1">
      <c r="A40" s="869"/>
      <c r="G40" s="833"/>
    </row>
    <row r="41" spans="1:7" ht="18.399999999999999" customHeight="1">
      <c r="A41" s="986" t="s">
        <v>455</v>
      </c>
      <c r="B41" s="1272"/>
      <c r="C41" s="1272"/>
      <c r="D41" s="1272"/>
      <c r="E41" s="1272"/>
      <c r="F41" s="1272"/>
      <c r="G41" s="1273"/>
    </row>
    <row r="42" spans="1:7" ht="18.75" customHeight="1">
      <c r="A42" s="987" t="s">
        <v>456</v>
      </c>
      <c r="B42" s="1260" t="s">
        <v>457</v>
      </c>
      <c r="C42" s="1260"/>
      <c r="D42" s="1260"/>
      <c r="E42" s="1260"/>
      <c r="F42" s="1260"/>
      <c r="G42" s="1261"/>
    </row>
    <row r="43" spans="1:7" ht="12" customHeight="1">
      <c r="A43" s="1274"/>
      <c r="B43" s="1124"/>
      <c r="C43" s="1124"/>
      <c r="D43" s="1124"/>
      <c r="E43" s="1124"/>
      <c r="F43" s="1124"/>
      <c r="G43" s="1125"/>
    </row>
    <row r="44" spans="1:7" ht="12" customHeight="1">
      <c r="A44" s="1274"/>
      <c r="B44" s="1124"/>
      <c r="C44" s="1124"/>
      <c r="D44" s="1124"/>
      <c r="E44" s="1124"/>
      <c r="F44" s="1124"/>
      <c r="G44" s="1125"/>
    </row>
    <row r="45" spans="1:7" ht="12" customHeight="1">
      <c r="A45" s="1274"/>
      <c r="B45" s="1124"/>
      <c r="C45" s="1124"/>
      <c r="D45" s="1124"/>
      <c r="E45" s="1124"/>
      <c r="F45" s="1124"/>
      <c r="G45" s="1125"/>
    </row>
    <row r="46" spans="1:7" ht="12" customHeight="1">
      <c r="A46" s="905" t="s">
        <v>478</v>
      </c>
      <c r="B46" s="906" t="s">
        <v>479</v>
      </c>
      <c r="D46" s="852"/>
      <c r="G46" s="833"/>
    </row>
    <row r="47" spans="1:7" ht="13.5" customHeight="1" thickBot="1">
      <c r="A47" s="1018">
        <f ca="1">TODAY()</f>
        <v>45608</v>
      </c>
      <c r="B47" s="1019" t="str">
        <f>"gez. "&amp;AnmeldeListe!C9</f>
        <v>gez. Orga1</v>
      </c>
      <c r="C47" s="848"/>
      <c r="D47" s="907"/>
      <c r="E47" s="848"/>
      <c r="F47" s="848"/>
      <c r="G47" s="849"/>
    </row>
    <row r="48" spans="1:7" ht="15.6" customHeight="1"/>
    <row r="49" ht="15.6" customHeight="1"/>
  </sheetData>
  <mergeCells count="11">
    <mergeCell ref="A3:D3"/>
    <mergeCell ref="B4:D4"/>
    <mergeCell ref="B6:D6"/>
    <mergeCell ref="B8:D8"/>
    <mergeCell ref="F8:G8"/>
    <mergeCell ref="A28:E28"/>
    <mergeCell ref="A29:A30"/>
    <mergeCell ref="B41:G41"/>
    <mergeCell ref="B42:G42"/>
    <mergeCell ref="A43:A45"/>
    <mergeCell ref="B43:G45"/>
  </mergeCells>
  <hyperlinks>
    <hyperlink ref="I1" r:id="rId1" display="../../../../../:u:/r/sites/S-348-O-Skitour/Freigegebene Dokumente/General/DAV SkiBergsteiger Orga/Abrechnungsformular PKWund%C3%96ffi-Fahrten_Muster_mitF%C3%9CL (S-348-O-Sektionsteam).url?csf=1&amp;web=1&amp;e=IKhAQW" xr:uid="{2AD3A3D1-62B8-4C47-804D-8D9DBA3A9A6F}"/>
  </hyperlinks>
  <pageMargins left="0.70866141732283472" right="0.70866141732283472" top="0.59055118110236227" bottom="0.59055118110236227" header="0.31496062992125984" footer="0.31496062992125984"/>
  <pageSetup paperSize="9" orientation="portrait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BE3CD-D35C-424D-8FC2-62D9C4DFCFDE}">
  <sheetPr>
    <tabColor theme="6"/>
  </sheetPr>
  <dimension ref="A1:N59"/>
  <sheetViews>
    <sheetView workbookViewId="0">
      <selection activeCell="I2" sqref="I2"/>
    </sheetView>
  </sheetViews>
  <sheetFormatPr defaultColWidth="11.5703125" defaultRowHeight="12.75"/>
  <cols>
    <col min="1" max="1" width="28.28515625" style="806" customWidth="1"/>
    <col min="2" max="4" width="9.7109375" style="806" customWidth="1"/>
    <col min="5" max="5" width="10" style="806" customWidth="1"/>
    <col min="6" max="6" width="11.140625" style="806" customWidth="1"/>
    <col min="7" max="7" width="11.7109375" style="806" customWidth="1"/>
    <col min="8" max="8" width="10" style="806" customWidth="1"/>
    <col min="9" max="9" width="50.5703125" style="806" customWidth="1"/>
    <col min="10" max="16384" width="11.5703125" style="806"/>
  </cols>
  <sheetData>
    <row r="1" spans="1:9" ht="25.5">
      <c r="A1" s="853" t="s">
        <v>480</v>
      </c>
      <c r="B1" s="854"/>
      <c r="C1" s="854"/>
      <c r="D1" s="854"/>
      <c r="E1" s="854"/>
      <c r="F1" s="854"/>
      <c r="G1" s="855"/>
      <c r="H1" s="850" t="s">
        <v>417</v>
      </c>
      <c r="I1" s="1010" t="s">
        <v>418</v>
      </c>
    </row>
    <row r="2" spans="1:9" ht="16.5">
      <c r="A2" s="856" t="s">
        <v>419</v>
      </c>
      <c r="B2" s="845"/>
      <c r="C2" s="845"/>
      <c r="D2" s="845"/>
      <c r="E2" s="845"/>
      <c r="F2" s="845"/>
      <c r="G2" s="857"/>
      <c r="I2" s="1023" t="str">
        <f>HYPERLINK("mailto:"&amp;VLOOKUP("Schatzmeisterin",HilfeListe!B15:C36,2,0)&amp;"?Subject=Abrechnung PKW " &amp;AnmeldeListe!C2&amp;": "&amp;AnmeldeListe!C3&amp;
"&amp;cc="&amp;VLOOKUP(AnmeldeListe!C1,HilfeListe!B15:C36,2,0)&amp;
"&amp;body=" &amp; "Hallo Schatzmeister*in,%0A%0Aich bitte um Kostenerstattung"  &amp; "%0A%0A&lt;Screenshot einfügen&gt;" &amp; "%0A%0ALiebe Grüße "  &amp; AnmeldeListe!C1 &amp; "/"&amp; AnmeldeListe!B9 &amp;" " &amp; AnmeldeListe!C9,"Email an Sektion: Abrechnung PKW ")</f>
        <v xml:space="preserve">Email an Sektion: Abrechnung PKW </v>
      </c>
    </row>
    <row r="3" spans="1:9" ht="37.9" customHeight="1" thickBot="1">
      <c r="A3" s="1187" t="s">
        <v>420</v>
      </c>
      <c r="B3" s="1263"/>
      <c r="C3" s="1263"/>
      <c r="D3" s="1263"/>
      <c r="E3" s="847"/>
      <c r="F3" s="847"/>
      <c r="G3" s="908"/>
    </row>
    <row r="4" spans="1:9" ht="15.75">
      <c r="A4" s="909" t="s">
        <v>421</v>
      </c>
      <c r="B4" s="1264" t="str">
        <f>AnmeldeListe!C1</f>
        <v>Sektion</v>
      </c>
      <c r="C4" s="1265"/>
      <c r="D4" s="1266"/>
      <c r="E4" s="910" t="s">
        <v>423</v>
      </c>
      <c r="F4" s="911" t="s">
        <v>482</v>
      </c>
      <c r="G4" s="912" t="s">
        <v>483</v>
      </c>
    </row>
    <row r="5" spans="1:9" ht="6" customHeight="1">
      <c r="A5" s="859"/>
      <c r="B5" s="860"/>
      <c r="C5" s="861"/>
      <c r="D5" s="862"/>
      <c r="G5" s="833"/>
    </row>
    <row r="6" spans="1:9" ht="15.75">
      <c r="A6" s="913" t="s">
        <v>422</v>
      </c>
      <c r="B6" s="1267" t="str">
        <f>AnmeldeListe!C5</f>
        <v>&lt;Ort&gt;</v>
      </c>
      <c r="C6" s="1268"/>
      <c r="D6" s="1269"/>
      <c r="E6" s="914"/>
      <c r="F6" s="1013">
        <f>AnmeldeListe!B4</f>
        <v>45842</v>
      </c>
      <c r="G6" s="1014">
        <f>AnmeldeListe!C4</f>
        <v>45842</v>
      </c>
    </row>
    <row r="7" spans="1:9" ht="6" customHeight="1">
      <c r="A7" s="859"/>
      <c r="B7" s="860"/>
      <c r="C7" s="861"/>
      <c r="D7" s="861"/>
      <c r="E7" s="915"/>
      <c r="F7" s="865"/>
      <c r="G7" s="833"/>
    </row>
    <row r="8" spans="1:9" ht="15.75">
      <c r="A8" s="808" t="s">
        <v>424</v>
      </c>
      <c r="B8" s="1246" t="str">
        <f>AnmeldeListe!C9</f>
        <v>Orga1</v>
      </c>
      <c r="C8" s="1251"/>
      <c r="D8" s="1252"/>
      <c r="E8" s="916" t="s">
        <v>484</v>
      </c>
      <c r="F8" s="1270" t="str">
        <f>AnmeldeListe!C2</f>
        <v>V-2025-xx-xx</v>
      </c>
      <c r="G8" s="1271"/>
    </row>
    <row r="9" spans="1:9" ht="15.75" customHeight="1">
      <c r="A9" s="902"/>
      <c r="G9" s="833"/>
    </row>
    <row r="10" spans="1:9">
      <c r="A10" s="917" t="s">
        <v>485</v>
      </c>
      <c r="B10" s="1012">
        <f>Dauer</f>
        <v>3</v>
      </c>
      <c r="C10" s="858"/>
      <c r="G10" s="833"/>
    </row>
    <row r="11" spans="1:9" ht="12" customHeight="1">
      <c r="A11" s="902"/>
      <c r="G11" s="833"/>
    </row>
    <row r="12" spans="1:9" ht="24" customHeight="1">
      <c r="A12" s="919" t="s">
        <v>425</v>
      </c>
      <c r="B12" s="988" t="s">
        <v>426</v>
      </c>
      <c r="C12" s="989" t="s">
        <v>486</v>
      </c>
      <c r="D12" s="988" t="s">
        <v>427</v>
      </c>
      <c r="E12" s="989" t="s">
        <v>486</v>
      </c>
      <c r="F12" s="989" t="s">
        <v>428</v>
      </c>
      <c r="G12" s="990" t="s">
        <v>429</v>
      </c>
    </row>
    <row r="13" spans="1:9" ht="9.75" customHeight="1">
      <c r="A13" s="922"/>
      <c r="B13" s="873"/>
      <c r="C13" s="991"/>
      <c r="D13" s="873"/>
      <c r="E13" s="991"/>
      <c r="F13" s="991"/>
      <c r="G13" s="833"/>
    </row>
    <row r="14" spans="1:9" ht="18.399999999999999" customHeight="1">
      <c r="A14" s="815" t="s">
        <v>499</v>
      </c>
      <c r="B14" s="923">
        <v>1</v>
      </c>
      <c r="C14" s="1016">
        <f>Dauer-1</f>
        <v>2</v>
      </c>
      <c r="D14" s="844"/>
      <c r="E14" s="844" t="str">
        <f>IF(D14&gt;0,($B$10-1)," ")</f>
        <v xml:space="preserve"> </v>
      </c>
      <c r="F14" s="844">
        <f>+B14+D14</f>
        <v>1</v>
      </c>
      <c r="G14" s="820"/>
    </row>
    <row r="15" spans="1:9" ht="18.399999999999999" customHeight="1">
      <c r="A15" s="815" t="s">
        <v>431</v>
      </c>
      <c r="B15" s="1015">
        <f>AnmeldeListe!A8-1</f>
        <v>1</v>
      </c>
      <c r="C15" s="1016">
        <f>C14</f>
        <v>2</v>
      </c>
      <c r="D15" s="816"/>
      <c r="E15" s="844" t="str">
        <f>IF(D15&gt;0,($B$10-1)," ")</f>
        <v xml:space="preserve"> </v>
      </c>
      <c r="F15" s="844">
        <f>+B15+D15</f>
        <v>1</v>
      </c>
      <c r="G15" s="820"/>
    </row>
    <row r="16" spans="1:9" ht="18.399999999999999" customHeight="1">
      <c r="A16" s="815" t="s">
        <v>432</v>
      </c>
      <c r="B16" s="816"/>
      <c r="C16" s="844" t="str">
        <f>IF(B16&gt;0,($B$10-1)," ")</f>
        <v xml:space="preserve"> </v>
      </c>
      <c r="D16" s="816"/>
      <c r="E16" s="844" t="str">
        <f>IF(D16&gt;0,($B$10-1)," ")</f>
        <v xml:space="preserve"> </v>
      </c>
      <c r="F16" s="844">
        <f>+B16+D16</f>
        <v>0</v>
      </c>
      <c r="G16" s="820"/>
    </row>
    <row r="17" spans="1:14" ht="20.100000000000001" customHeight="1">
      <c r="A17" s="808" t="s">
        <v>433</v>
      </c>
      <c r="B17" s="926"/>
      <c r="C17" s="818"/>
      <c r="D17" s="992"/>
      <c r="E17" s="831"/>
      <c r="F17" s="831">
        <f>F14+F15</f>
        <v>2</v>
      </c>
      <c r="G17" s="820"/>
    </row>
    <row r="18" spans="1:14" ht="6" customHeight="1" thickBot="1">
      <c r="A18" s="898"/>
      <c r="B18" s="931"/>
      <c r="C18" s="866"/>
      <c r="D18" s="866"/>
      <c r="E18" s="866"/>
      <c r="F18" s="932"/>
    </row>
    <row r="19" spans="1:14" ht="21.6" customHeight="1">
      <c r="A19" s="1157" t="s">
        <v>500</v>
      </c>
      <c r="B19" s="1158"/>
      <c r="C19" s="1158"/>
      <c r="D19" s="1158"/>
      <c r="E19" s="1158"/>
      <c r="F19" s="1158"/>
      <c r="G19" s="1159"/>
    </row>
    <row r="20" spans="1:14" ht="20.100000000000001" customHeight="1">
      <c r="A20" s="829" t="s">
        <v>435</v>
      </c>
      <c r="B20" s="1301">
        <f>AnmeldeListe!D5+AnmeldeListe!D6</f>
        <v>600</v>
      </c>
      <c r="C20" s="1302"/>
      <c r="D20" s="1303"/>
      <c r="E20" s="993"/>
      <c r="G20" s="833"/>
      <c r="I20" s="834"/>
      <c r="K20" s="834"/>
    </row>
    <row r="21" spans="1:14" ht="20.100000000000001" customHeight="1">
      <c r="A21" s="994" t="s">
        <v>436</v>
      </c>
      <c r="B21" s="1304">
        <v>1</v>
      </c>
      <c r="C21" s="1304"/>
      <c r="D21" s="1304"/>
      <c r="E21" s="993"/>
      <c r="G21" s="833"/>
      <c r="I21" s="834"/>
      <c r="K21" s="834"/>
    </row>
    <row r="22" spans="1:14" ht="20.100000000000001" customHeight="1">
      <c r="A22" s="994"/>
      <c r="B22" s="830" t="s">
        <v>437</v>
      </c>
      <c r="C22" s="831" t="s">
        <v>438</v>
      </c>
      <c r="D22" s="992" t="s">
        <v>439</v>
      </c>
      <c r="E22" s="993"/>
      <c r="G22" s="833"/>
      <c r="I22" s="834"/>
      <c r="K22" s="834"/>
    </row>
    <row r="23" spans="1:14" ht="45">
      <c r="A23" s="994"/>
      <c r="B23" s="835" t="s">
        <v>440</v>
      </c>
      <c r="C23" s="835" t="s">
        <v>441</v>
      </c>
      <c r="D23" s="835" t="s">
        <v>442</v>
      </c>
      <c r="E23" s="995" t="s">
        <v>501</v>
      </c>
      <c r="F23" s="996"/>
      <c r="G23" s="997"/>
      <c r="I23" s="834"/>
      <c r="K23" s="834"/>
    </row>
    <row r="24" spans="1:14" ht="18.399999999999999" customHeight="1">
      <c r="A24" s="829" t="s">
        <v>443</v>
      </c>
      <c r="B24" s="998"/>
      <c r="C24" s="957"/>
      <c r="D24" s="924"/>
      <c r="E24" s="995"/>
      <c r="F24" s="996"/>
      <c r="G24" s="997"/>
      <c r="I24" s="834"/>
      <c r="J24" s="834"/>
      <c r="L24" s="834"/>
    </row>
    <row r="25" spans="1:14" ht="18.399999999999999" customHeight="1">
      <c r="A25" s="829" t="s">
        <v>444</v>
      </c>
      <c r="B25" s="999"/>
      <c r="C25" s="957"/>
      <c r="D25" s="924"/>
      <c r="E25" s="1000"/>
      <c r="F25" s="996"/>
      <c r="G25" s="997"/>
      <c r="I25" s="834"/>
      <c r="J25" s="834"/>
      <c r="L25" s="834"/>
    </row>
    <row r="26" spans="1:14" ht="18.399999999999999" customHeight="1">
      <c r="A26" s="829" t="s">
        <v>445</v>
      </c>
      <c r="B26" s="957">
        <f>B20*B24*B25/100</f>
        <v>0</v>
      </c>
      <c r="C26" s="999"/>
      <c r="D26" s="924"/>
      <c r="E26" s="1000"/>
      <c r="F26" s="996"/>
      <c r="G26" s="997"/>
      <c r="I26" s="834"/>
      <c r="J26" s="834"/>
      <c r="L26" s="834"/>
    </row>
    <row r="27" spans="1:14" ht="18.399999999999999" customHeight="1">
      <c r="A27" s="829" t="s">
        <v>502</v>
      </c>
      <c r="B27" s="999"/>
      <c r="C27" s="999"/>
      <c r="D27" s="924"/>
      <c r="E27" s="1000"/>
      <c r="F27" s="996"/>
      <c r="G27" s="997"/>
      <c r="I27" s="834"/>
      <c r="J27" s="834"/>
      <c r="L27" s="834"/>
    </row>
    <row r="28" spans="1:14" ht="18.399999999999999" customHeight="1">
      <c r="A28" s="829" t="s">
        <v>446</v>
      </c>
      <c r="B28" s="999"/>
      <c r="C28" s="999"/>
      <c r="D28" s="924"/>
      <c r="E28" s="1001"/>
      <c r="F28" s="996"/>
      <c r="G28" s="997"/>
      <c r="I28" s="834"/>
      <c r="J28" s="834"/>
      <c r="L28" s="834"/>
    </row>
    <row r="29" spans="1:14" ht="18.399999999999999" customHeight="1">
      <c r="A29" s="994" t="s">
        <v>447</v>
      </c>
      <c r="B29" s="1002">
        <f>(B26+B27+B28)/B21</f>
        <v>0</v>
      </c>
      <c r="C29" s="1002">
        <v>0</v>
      </c>
      <c r="D29" s="1003"/>
      <c r="E29" s="1004"/>
      <c r="G29" s="833"/>
      <c r="I29" s="834"/>
      <c r="J29" s="834"/>
      <c r="L29" s="834"/>
    </row>
    <row r="30" spans="1:14" ht="18.399999999999999" customHeight="1" thickBot="1">
      <c r="A30" s="1305" t="s">
        <v>448</v>
      </c>
      <c r="B30" s="1306"/>
      <c r="C30" s="1306"/>
      <c r="D30" s="1306"/>
      <c r="E30" s="1306"/>
      <c r="F30" s="1307">
        <f>B29+C29+D29</f>
        <v>0</v>
      </c>
      <c r="G30" s="1308"/>
      <c r="I30" s="834"/>
      <c r="J30" s="834"/>
      <c r="L30" s="834"/>
    </row>
    <row r="31" spans="1:14" ht="6" customHeight="1">
      <c r="A31" s="888"/>
      <c r="B31" s="935"/>
      <c r="C31" s="881"/>
      <c r="D31" s="881"/>
      <c r="E31" s="881"/>
      <c r="F31" s="881"/>
      <c r="G31" s="881"/>
      <c r="H31" s="850"/>
      <c r="I31" s="850"/>
      <c r="J31" s="834"/>
      <c r="K31" s="834"/>
      <c r="N31" s="834"/>
    </row>
    <row r="32" spans="1:14" ht="16.5" customHeight="1">
      <c r="A32" s="1255" t="s">
        <v>492</v>
      </c>
      <c r="B32" s="1255"/>
      <c r="C32" s="1255"/>
      <c r="D32" s="1255"/>
      <c r="E32" s="1255"/>
      <c r="F32" s="1309">
        <v>0</v>
      </c>
      <c r="G32" s="1309"/>
      <c r="H32" s="850"/>
      <c r="I32" s="850"/>
      <c r="J32" s="834"/>
      <c r="K32" s="834"/>
      <c r="N32" s="834"/>
    </row>
    <row r="33" spans="1:7" ht="15" customHeight="1">
      <c r="A33" s="1310" t="s">
        <v>503</v>
      </c>
      <c r="B33" s="1005" t="s">
        <v>107</v>
      </c>
      <c r="C33" s="1311" t="s">
        <v>504</v>
      </c>
      <c r="D33" s="1311"/>
      <c r="E33" s="1312"/>
      <c r="F33" s="1313" t="s">
        <v>471</v>
      </c>
      <c r="G33" s="1314"/>
    </row>
    <row r="34" spans="1:7" ht="16.5" customHeight="1">
      <c r="A34" s="1257"/>
      <c r="B34" s="948">
        <f>IF(B10&gt;7,6,B10-1)</f>
        <v>2</v>
      </c>
      <c r="C34" s="1297">
        <v>20</v>
      </c>
      <c r="D34" s="1297"/>
      <c r="E34" s="1298"/>
      <c r="F34" s="1214">
        <f>IF(F32&gt;0,(B34-F32)*C34,B34*C34)</f>
        <v>40</v>
      </c>
      <c r="G34" s="1215"/>
    </row>
    <row r="35" spans="1:7" ht="16.5" customHeight="1">
      <c r="A35" s="885" t="s">
        <v>450</v>
      </c>
      <c r="B35" s="988" t="s">
        <v>107</v>
      </c>
      <c r="C35" s="1299" t="s">
        <v>505</v>
      </c>
      <c r="D35" s="1299"/>
      <c r="E35" s="1300"/>
      <c r="F35" s="1214"/>
      <c r="G35" s="1215"/>
    </row>
    <row r="36" spans="1:7" ht="16.5" customHeight="1">
      <c r="A36" s="956" t="s">
        <v>494</v>
      </c>
      <c r="B36" s="948">
        <v>2</v>
      </c>
      <c r="C36" s="1297">
        <v>14</v>
      </c>
      <c r="D36" s="1297"/>
      <c r="E36" s="1298"/>
      <c r="F36" s="1214">
        <f>+B36*C36</f>
        <v>28</v>
      </c>
      <c r="G36" s="1215"/>
    </row>
    <row r="37" spans="1:7" ht="16.5" customHeight="1">
      <c r="A37" s="956" t="s">
        <v>495</v>
      </c>
      <c r="B37" s="948">
        <f>IF(B10&gt;7,5,B10-2)</f>
        <v>1</v>
      </c>
      <c r="C37" s="1297">
        <v>28</v>
      </c>
      <c r="D37" s="1297"/>
      <c r="E37" s="1298"/>
      <c r="F37" s="1214">
        <f>+B37*C37</f>
        <v>28</v>
      </c>
      <c r="G37" s="1215"/>
    </row>
    <row r="38" spans="1:7" ht="16.5" customHeight="1">
      <c r="A38" s="885" t="s">
        <v>506</v>
      </c>
      <c r="B38" s="1282"/>
      <c r="C38" s="1283"/>
      <c r="D38" s="1283"/>
      <c r="E38" s="1284"/>
      <c r="F38" s="1285"/>
      <c r="G38" s="1286"/>
    </row>
    <row r="39" spans="1:7" ht="16.5" customHeight="1">
      <c r="A39" s="885" t="s">
        <v>506</v>
      </c>
      <c r="B39" s="1282"/>
      <c r="C39" s="1283"/>
      <c r="D39" s="1283"/>
      <c r="E39" s="1284"/>
      <c r="F39" s="1285"/>
      <c r="G39" s="1286"/>
    </row>
    <row r="40" spans="1:7" ht="18.600000000000001" customHeight="1" thickBot="1">
      <c r="A40" s="1006" t="s">
        <v>453</v>
      </c>
      <c r="B40" s="1287"/>
      <c r="C40" s="1288"/>
      <c r="D40" s="1288"/>
      <c r="E40" s="1289"/>
      <c r="F40" s="1290"/>
      <c r="G40" s="1291"/>
    </row>
    <row r="41" spans="1:7" ht="6" customHeight="1" thickBot="1">
      <c r="A41" s="902"/>
      <c r="F41" s="1007"/>
      <c r="G41" s="833"/>
    </row>
    <row r="42" spans="1:7" ht="18.399999999999999" customHeight="1" thickBot="1">
      <c r="A42" s="976" t="s">
        <v>454</v>
      </c>
      <c r="B42" s="1292"/>
      <c r="C42" s="1293"/>
      <c r="D42" s="1293"/>
      <c r="E42" s="1294"/>
      <c r="F42" s="1295">
        <f>B29+C29+F34+F35+F36+F37+F38+F39-F40</f>
        <v>96</v>
      </c>
      <c r="G42" s="1296"/>
    </row>
    <row r="43" spans="1:7" ht="6" customHeight="1" thickBot="1">
      <c r="A43" s="902"/>
      <c r="B43" s="845"/>
      <c r="C43" s="845"/>
      <c r="D43" s="845"/>
      <c r="E43" s="845"/>
      <c r="F43" s="845"/>
      <c r="G43" s="845"/>
    </row>
    <row r="44" spans="1:7" ht="18.399999999999999" customHeight="1">
      <c r="A44" s="903" t="s">
        <v>455</v>
      </c>
      <c r="B44" s="1275"/>
      <c r="C44" s="1275"/>
      <c r="D44" s="1275"/>
      <c r="E44" s="1275"/>
      <c r="F44" s="1275"/>
      <c r="G44" s="1276"/>
    </row>
    <row r="45" spans="1:7" ht="18.75" customHeight="1">
      <c r="A45" s="815" t="s">
        <v>456</v>
      </c>
      <c r="B45" s="1260" t="s">
        <v>457</v>
      </c>
      <c r="C45" s="1260"/>
      <c r="D45" s="1260"/>
      <c r="E45" s="1260"/>
      <c r="F45" s="1260"/>
      <c r="G45" s="1261"/>
    </row>
    <row r="46" spans="1:7" ht="12" customHeight="1">
      <c r="A46" s="1277"/>
      <c r="B46" s="1280"/>
      <c r="C46" s="1280"/>
      <c r="D46" s="1280"/>
      <c r="E46" s="1280"/>
      <c r="F46" s="1280"/>
      <c r="G46" s="1281"/>
    </row>
    <row r="47" spans="1:7" ht="12" customHeight="1">
      <c r="A47" s="1278"/>
      <c r="B47" s="1280"/>
      <c r="C47" s="1280"/>
      <c r="D47" s="1280"/>
      <c r="E47" s="1280"/>
      <c r="F47" s="1280"/>
      <c r="G47" s="1281"/>
    </row>
    <row r="48" spans="1:7" ht="12" customHeight="1">
      <c r="A48" s="1279"/>
      <c r="B48" s="1280"/>
      <c r="C48" s="1280"/>
      <c r="D48" s="1280"/>
      <c r="E48" s="1280"/>
      <c r="F48" s="1280"/>
      <c r="G48" s="1281"/>
    </row>
    <row r="49" spans="1:7" ht="25.15" customHeight="1" thickBot="1">
      <c r="A49" s="1020">
        <f ca="1">TODAY()</f>
        <v>45608</v>
      </c>
      <c r="B49" s="1129" t="str">
        <f>"gez. "&amp;AnmeldeListe!C9</f>
        <v>gez. Orga1</v>
      </c>
      <c r="C49" s="1129"/>
      <c r="D49" s="1129"/>
      <c r="E49" s="1129"/>
      <c r="F49" s="1129"/>
      <c r="G49" s="1130"/>
    </row>
    <row r="50" spans="1:7" ht="13.5" customHeight="1">
      <c r="A50" s="852"/>
      <c r="B50" s="852"/>
      <c r="D50" s="852"/>
    </row>
    <row r="51" spans="1:7" ht="15.6" customHeight="1"/>
    <row r="52" spans="1:7" ht="15.6" customHeight="1">
      <c r="A52" s="806" t="s">
        <v>507</v>
      </c>
    </row>
    <row r="53" spans="1:7">
      <c r="A53" s="806" t="s">
        <v>508</v>
      </c>
    </row>
    <row r="54" spans="1:7">
      <c r="A54" s="806" t="s">
        <v>509</v>
      </c>
    </row>
    <row r="55" spans="1:7">
      <c r="A55" s="806" t="s">
        <v>510</v>
      </c>
    </row>
    <row r="56" spans="1:7">
      <c r="A56" s="806" t="s">
        <v>511</v>
      </c>
    </row>
    <row r="57" spans="1:7">
      <c r="A57" s="806" t="s">
        <v>512</v>
      </c>
    </row>
    <row r="59" spans="1:7">
      <c r="A59" s="806" t="s">
        <v>513</v>
      </c>
    </row>
  </sheetData>
  <mergeCells count="36">
    <mergeCell ref="A19:G19"/>
    <mergeCell ref="A3:D3"/>
    <mergeCell ref="B4:D4"/>
    <mergeCell ref="B6:D6"/>
    <mergeCell ref="B8:D8"/>
    <mergeCell ref="F8:G8"/>
    <mergeCell ref="C35:E35"/>
    <mergeCell ref="F35:G35"/>
    <mergeCell ref="B20:D20"/>
    <mergeCell ref="B21:D21"/>
    <mergeCell ref="A30:E30"/>
    <mergeCell ref="F30:G30"/>
    <mergeCell ref="A32:E32"/>
    <mergeCell ref="F32:G32"/>
    <mergeCell ref="A33:A34"/>
    <mergeCell ref="C33:E33"/>
    <mergeCell ref="F33:G33"/>
    <mergeCell ref="C34:E34"/>
    <mergeCell ref="F34:G34"/>
    <mergeCell ref="C36:E36"/>
    <mergeCell ref="F36:G36"/>
    <mergeCell ref="C37:E37"/>
    <mergeCell ref="F37:G37"/>
    <mergeCell ref="B38:E38"/>
    <mergeCell ref="F38:G38"/>
    <mergeCell ref="B39:E39"/>
    <mergeCell ref="F39:G39"/>
    <mergeCell ref="B40:E40"/>
    <mergeCell ref="F40:G40"/>
    <mergeCell ref="B42:E42"/>
    <mergeCell ref="F42:G42"/>
    <mergeCell ref="B44:G44"/>
    <mergeCell ref="B45:G45"/>
    <mergeCell ref="A46:A48"/>
    <mergeCell ref="B46:G48"/>
    <mergeCell ref="B49:G49"/>
  </mergeCells>
  <hyperlinks>
    <hyperlink ref="I1" r:id="rId1" display="../../../../../:u:/r/sites/S-348-O-Skitour/Freigegebene Dokumente/General/DAV SkiBergsteiger Orga/Abrechnungsformular PKWund%C3%96ffi-Fahrten_Muster_mitF%C3%9CL (S-348-O-Sektionsteam).url?csf=1&amp;web=1&amp;e=IKhAQW" xr:uid="{1921C7B8-10AA-4995-B4FB-C6C9F48DB818}"/>
  </hyperlinks>
  <pageMargins left="0.70866141732283472" right="0.51181102362204722" top="0.19685039370078741" bottom="0.19685039370078741" header="0.31496062992125984" footer="0.31496062992125984"/>
  <pageSetup paperSize="9" orientation="portrait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22935-B094-46A5-BDE4-92D2C8B0E99A}">
  <sheetPr>
    <tabColor theme="6" tint="0.39997558519241921"/>
  </sheetPr>
  <dimension ref="A1:N52"/>
  <sheetViews>
    <sheetView workbookViewId="0">
      <selection activeCell="I2" sqref="I2"/>
    </sheetView>
  </sheetViews>
  <sheetFormatPr defaultColWidth="11.5703125" defaultRowHeight="12.75"/>
  <cols>
    <col min="1" max="1" width="28.28515625" style="806" customWidth="1"/>
    <col min="2" max="4" width="9.7109375" style="806" customWidth="1"/>
    <col min="5" max="5" width="10" style="806" customWidth="1"/>
    <col min="6" max="6" width="11.140625" style="806" customWidth="1"/>
    <col min="7" max="7" width="11.7109375" style="806" customWidth="1"/>
    <col min="8" max="8" width="11.5703125" style="806"/>
    <col min="9" max="9" width="34" style="806" customWidth="1"/>
    <col min="10" max="16384" width="11.5703125" style="806"/>
  </cols>
  <sheetData>
    <row r="1" spans="1:9" ht="25.5">
      <c r="A1" s="853" t="s">
        <v>480</v>
      </c>
      <c r="B1" s="854"/>
      <c r="C1" s="854"/>
      <c r="D1" s="854"/>
      <c r="E1" s="854"/>
      <c r="F1" s="854"/>
      <c r="G1" s="855"/>
      <c r="H1" s="850" t="s">
        <v>417</v>
      </c>
      <c r="I1" s="1069" t="s">
        <v>418</v>
      </c>
    </row>
    <row r="2" spans="1:9" ht="16.5">
      <c r="A2" s="856" t="s">
        <v>419</v>
      </c>
      <c r="B2" s="845"/>
      <c r="C2" s="845"/>
      <c r="D2" s="845"/>
      <c r="E2" s="845"/>
      <c r="F2" s="845"/>
      <c r="G2" s="857"/>
      <c r="I2" s="1023" t="str">
        <f>HYPERLINK("mailto:"&amp;VLOOKUP("Schatzmeisterin",HilfeListe!B15:C36,2,0)&amp;"?Subject=Abrechnung PKW " &amp;AnmeldeListe!C2&amp;": "&amp;AnmeldeListe!C3&amp;
"&amp;cc="&amp;VLOOKUP(AnmeldeListe!C1,HilfeListe!B15:C36,2,0)&amp;
"&amp;body=" &amp; "Hallo Schatzmeister*in,%0A%0Aich bitte um Kostenerstattung"  &amp; "%0A%0A&lt;Screenshot einfügen&gt;" &amp; "%0A%0ALiebe Grüße "  &amp; AnmeldeListe!C1 &amp; "/"&amp; AnmeldeListe!B9 &amp;" " &amp; AnmeldeListe!C9,"Email an Sektion: Abrechnung PKW ")</f>
        <v xml:space="preserve">Email an Sektion: Abrechnung PKW </v>
      </c>
    </row>
    <row r="3" spans="1:9" ht="37.9" customHeight="1" thickBot="1">
      <c r="A3" s="1187" t="s">
        <v>420</v>
      </c>
      <c r="B3" s="1263"/>
      <c r="C3" s="1263"/>
      <c r="D3" s="1263"/>
      <c r="E3" s="847"/>
      <c r="F3" s="847"/>
      <c r="G3" s="908"/>
    </row>
    <row r="4" spans="1:9" ht="15.75">
      <c r="A4" s="909" t="s">
        <v>421</v>
      </c>
      <c r="B4" s="1264" t="str">
        <f>'MT-PKW-Org'!B4</f>
        <v>Sektion</v>
      </c>
      <c r="C4" s="1265"/>
      <c r="D4" s="1266"/>
      <c r="E4" s="910" t="s">
        <v>423</v>
      </c>
      <c r="F4" s="911" t="s">
        <v>482</v>
      </c>
      <c r="G4" s="912" t="s">
        <v>483</v>
      </c>
    </row>
    <row r="5" spans="1:9" ht="6" customHeight="1">
      <c r="A5" s="859"/>
      <c r="B5" s="860"/>
      <c r="C5" s="861"/>
      <c r="D5" s="862"/>
      <c r="G5" s="833"/>
    </row>
    <row r="6" spans="1:9" ht="15.75">
      <c r="A6" s="913" t="s">
        <v>422</v>
      </c>
      <c r="B6" s="1267" t="str">
        <f>'MT-PKW-Org'!B6</f>
        <v>&lt;Ort&gt;</v>
      </c>
      <c r="C6" s="1268"/>
      <c r="D6" s="1269"/>
      <c r="E6" s="914"/>
      <c r="F6" s="1013">
        <f>'MT-PKW-Org'!F6</f>
        <v>45842</v>
      </c>
      <c r="G6" s="1014">
        <f>'MT-PKW-Org'!G6</f>
        <v>45842</v>
      </c>
    </row>
    <row r="7" spans="1:9" ht="6" customHeight="1">
      <c r="A7" s="859"/>
      <c r="B7" s="860"/>
      <c r="C7" s="861"/>
      <c r="D7" s="861"/>
      <c r="E7" s="915"/>
      <c r="F7" s="865"/>
      <c r="G7" s="833"/>
    </row>
    <row r="8" spans="1:9" ht="15.75">
      <c r="A8" s="808" t="s">
        <v>496</v>
      </c>
      <c r="B8" s="1324"/>
      <c r="C8" s="1325"/>
      <c r="D8" s="1326"/>
      <c r="E8" s="916" t="s">
        <v>484</v>
      </c>
      <c r="F8" s="1270" t="str">
        <f>'MT-PKW-Org'!F8</f>
        <v>V-2025-xx-xx</v>
      </c>
      <c r="G8" s="1271"/>
    </row>
    <row r="9" spans="1:9" ht="15.75" customHeight="1">
      <c r="A9" s="902"/>
      <c r="G9" s="833"/>
    </row>
    <row r="10" spans="1:9">
      <c r="A10" s="917" t="s">
        <v>485</v>
      </c>
      <c r="B10" s="1071">
        <f>G6-F6+1</f>
        <v>1</v>
      </c>
      <c r="C10" s="858"/>
      <c r="G10" s="833"/>
    </row>
    <row r="11" spans="1:9" ht="12" customHeight="1">
      <c r="A11" s="902"/>
      <c r="G11" s="833"/>
    </row>
    <row r="12" spans="1:9" ht="24" customHeight="1">
      <c r="A12" s="919" t="s">
        <v>425</v>
      </c>
      <c r="B12" s="988" t="s">
        <v>426</v>
      </c>
      <c r="C12" s="989" t="s">
        <v>486</v>
      </c>
      <c r="D12" s="988" t="s">
        <v>427</v>
      </c>
      <c r="E12" s="989" t="s">
        <v>486</v>
      </c>
      <c r="F12" s="989" t="s">
        <v>428</v>
      </c>
      <c r="G12" s="990" t="s">
        <v>429</v>
      </c>
    </row>
    <row r="13" spans="1:9" ht="9.75" customHeight="1">
      <c r="A13" s="922"/>
      <c r="B13" s="873"/>
      <c r="C13" s="991"/>
      <c r="D13" s="873"/>
      <c r="E13" s="991"/>
      <c r="F13" s="991"/>
      <c r="G13" s="833"/>
    </row>
    <row r="14" spans="1:9" ht="18.399999999999999" customHeight="1">
      <c r="A14" s="815" t="s">
        <v>499</v>
      </c>
      <c r="B14" s="1070">
        <f>'MT-PKW-Org'!B14</f>
        <v>1</v>
      </c>
      <c r="C14" s="1071">
        <f>$B$10-1</f>
        <v>0</v>
      </c>
      <c r="D14" s="844"/>
      <c r="E14" s="844" t="str">
        <f>IF(D14&gt;0,($B$10-1)," ")</f>
        <v xml:space="preserve"> </v>
      </c>
      <c r="F14" s="844">
        <f>+B14+D14</f>
        <v>1</v>
      </c>
      <c r="G14" s="820"/>
    </row>
    <row r="15" spans="1:9" ht="18.399999999999999" customHeight="1">
      <c r="A15" s="815" t="s">
        <v>431</v>
      </c>
      <c r="B15" s="1070">
        <f>'MT-PKW-Org'!B15</f>
        <v>1</v>
      </c>
      <c r="C15" s="1071">
        <f>$B$10-1</f>
        <v>0</v>
      </c>
      <c r="D15" s="816">
        <f>'MT-PKW-Org'!D15</f>
        <v>0</v>
      </c>
      <c r="E15" s="844" t="str">
        <f>IF(D15&gt;0,($B$10-1)," ")</f>
        <v xml:space="preserve"> </v>
      </c>
      <c r="F15" s="844">
        <f>+B15+D15</f>
        <v>1</v>
      </c>
      <c r="G15" s="820"/>
    </row>
    <row r="16" spans="1:9" ht="18.399999999999999" customHeight="1">
      <c r="A16" s="815" t="s">
        <v>432</v>
      </c>
      <c r="B16" s="816">
        <f>'MT-PKW-Org'!B16</f>
        <v>0</v>
      </c>
      <c r="C16" s="844" t="str">
        <f>IF(B16&gt;0,($B$10-1)," ")</f>
        <v xml:space="preserve"> </v>
      </c>
      <c r="D16" s="816">
        <f>'MT-PKW-Org'!D16</f>
        <v>0</v>
      </c>
      <c r="E16" s="844" t="str">
        <f>IF(D16&gt;0,($B$10-1)," ")</f>
        <v xml:space="preserve"> </v>
      </c>
      <c r="F16" s="844">
        <f>+B16+D16</f>
        <v>0</v>
      </c>
      <c r="G16" s="820"/>
    </row>
    <row r="17" spans="1:14" ht="20.100000000000001" customHeight="1">
      <c r="A17" s="808" t="s">
        <v>433</v>
      </c>
      <c r="B17" s="926"/>
      <c r="C17" s="818"/>
      <c r="D17" s="992"/>
      <c r="E17" s="831"/>
      <c r="F17" s="831">
        <f>F14+F15</f>
        <v>2</v>
      </c>
      <c r="G17" s="820"/>
    </row>
    <row r="18" spans="1:14" ht="6" customHeight="1" thickBot="1">
      <c r="A18" s="898"/>
      <c r="B18" s="931"/>
      <c r="C18" s="866"/>
      <c r="D18" s="866"/>
      <c r="E18" s="866"/>
      <c r="F18" s="932"/>
    </row>
    <row r="19" spans="1:14" ht="21.6" customHeight="1">
      <c r="A19" s="1157" t="s">
        <v>500</v>
      </c>
      <c r="B19" s="1158"/>
      <c r="C19" s="1158"/>
      <c r="D19" s="1158"/>
      <c r="E19" s="1158"/>
      <c r="F19" s="1158"/>
      <c r="G19" s="1159"/>
    </row>
    <row r="20" spans="1:14" ht="20.100000000000001" customHeight="1">
      <c r="A20" s="829" t="s">
        <v>435</v>
      </c>
      <c r="B20" s="1321">
        <f>AnmeldeListe!D5+AnmeldeListe!D6</f>
        <v>600</v>
      </c>
      <c r="C20" s="1322"/>
      <c r="D20" s="1323"/>
      <c r="E20" s="993"/>
      <c r="G20" s="833"/>
      <c r="I20" s="834"/>
      <c r="K20" s="834"/>
    </row>
    <row r="21" spans="1:14" ht="20.100000000000001" customHeight="1">
      <c r="A21" s="994" t="s">
        <v>436</v>
      </c>
      <c r="B21" s="1304">
        <v>1</v>
      </c>
      <c r="C21" s="1304"/>
      <c r="D21" s="1304"/>
      <c r="E21" s="993"/>
      <c r="G21" s="833"/>
      <c r="I21" s="834"/>
      <c r="K21" s="834"/>
    </row>
    <row r="22" spans="1:14" ht="20.100000000000001" customHeight="1">
      <c r="A22" s="994"/>
      <c r="B22" s="830" t="s">
        <v>437</v>
      </c>
      <c r="C22" s="831" t="s">
        <v>438</v>
      </c>
      <c r="D22" s="992" t="s">
        <v>439</v>
      </c>
      <c r="E22" s="993"/>
      <c r="G22" s="833"/>
      <c r="I22" s="834"/>
      <c r="K22" s="834"/>
    </row>
    <row r="23" spans="1:14" ht="45">
      <c r="A23" s="994"/>
      <c r="B23" s="835" t="s">
        <v>514</v>
      </c>
      <c r="C23" s="835" t="s">
        <v>441</v>
      </c>
      <c r="D23" s="835" t="s">
        <v>442</v>
      </c>
      <c r="E23" s="993"/>
      <c r="G23" s="833"/>
      <c r="I23" s="834"/>
      <c r="K23" s="834"/>
    </row>
    <row r="24" spans="1:14" ht="18.399999999999999" customHeight="1">
      <c r="A24" s="829" t="s">
        <v>443</v>
      </c>
      <c r="B24" s="998"/>
      <c r="C24" s="957"/>
      <c r="D24" s="924"/>
      <c r="E24" s="1008"/>
      <c r="G24" s="833"/>
      <c r="I24" s="834"/>
      <c r="J24" s="834"/>
      <c r="L24" s="834"/>
    </row>
    <row r="25" spans="1:14" ht="18.399999999999999" customHeight="1">
      <c r="A25" s="829" t="s">
        <v>444</v>
      </c>
      <c r="B25" s="999"/>
      <c r="C25" s="957"/>
      <c r="D25" s="924"/>
      <c r="E25" s="1008"/>
      <c r="G25" s="833"/>
      <c r="I25" s="834"/>
      <c r="J25" s="834"/>
      <c r="L25" s="834"/>
    </row>
    <row r="26" spans="1:14" ht="18.399999999999999" customHeight="1">
      <c r="A26" s="829" t="s">
        <v>445</v>
      </c>
      <c r="B26" s="957">
        <f>B20*B24*B25/100</f>
        <v>0</v>
      </c>
      <c r="C26" s="999"/>
      <c r="D26" s="924"/>
      <c r="E26" s="1009"/>
      <c r="G26" s="833"/>
      <c r="I26" s="834"/>
      <c r="J26" s="834"/>
      <c r="L26" s="834"/>
    </row>
    <row r="27" spans="1:14" ht="18.399999999999999" customHeight="1">
      <c r="A27" s="829" t="s">
        <v>502</v>
      </c>
      <c r="B27" s="999"/>
      <c r="C27" s="999"/>
      <c r="D27" s="924"/>
      <c r="E27" s="1009"/>
      <c r="G27" s="833"/>
      <c r="I27" s="834"/>
      <c r="J27" s="834"/>
      <c r="L27" s="834"/>
    </row>
    <row r="28" spans="1:14" ht="18.399999999999999" customHeight="1">
      <c r="A28" s="829" t="s">
        <v>446</v>
      </c>
      <c r="B28" s="999"/>
      <c r="C28" s="999"/>
      <c r="D28" s="924"/>
      <c r="E28" s="1009"/>
      <c r="G28" s="833"/>
      <c r="I28" s="834"/>
      <c r="J28" s="834"/>
      <c r="L28" s="834"/>
    </row>
    <row r="29" spans="1:14" ht="18.399999999999999" customHeight="1">
      <c r="A29" s="994" t="s">
        <v>447</v>
      </c>
      <c r="B29" s="1002">
        <f>(B26+B27+B28)/B21</f>
        <v>0</v>
      </c>
      <c r="C29" s="1002">
        <f>(C26+C27+C28)/B21</f>
        <v>0</v>
      </c>
      <c r="D29" s="1003"/>
      <c r="E29" s="1004"/>
      <c r="G29" s="833"/>
      <c r="I29" s="834"/>
      <c r="J29" s="834"/>
      <c r="L29" s="834"/>
    </row>
    <row r="30" spans="1:14" ht="18.399999999999999" customHeight="1" thickBot="1">
      <c r="A30" s="1305" t="s">
        <v>448</v>
      </c>
      <c r="B30" s="1306"/>
      <c r="C30" s="1306"/>
      <c r="D30" s="1306"/>
      <c r="E30" s="1306"/>
      <c r="F30" s="1307">
        <f>B29+C29+D29</f>
        <v>0</v>
      </c>
      <c r="G30" s="1308"/>
      <c r="I30" s="834"/>
      <c r="J30" s="834"/>
      <c r="L30" s="834"/>
    </row>
    <row r="31" spans="1:14" ht="6" customHeight="1">
      <c r="A31" s="888"/>
      <c r="B31" s="935"/>
      <c r="C31" s="881"/>
      <c r="D31" s="881"/>
      <c r="E31" s="881"/>
      <c r="F31" s="881"/>
      <c r="G31" s="881"/>
      <c r="H31" s="850"/>
      <c r="I31" s="850"/>
      <c r="J31" s="834"/>
      <c r="K31" s="834"/>
      <c r="N31" s="834"/>
    </row>
    <row r="32" spans="1:14" ht="16.5" customHeight="1">
      <c r="A32" s="1255" t="s">
        <v>515</v>
      </c>
      <c r="B32" s="1255"/>
      <c r="C32" s="1255"/>
      <c r="D32" s="1255"/>
      <c r="E32" s="1255"/>
      <c r="F32" s="1309"/>
      <c r="G32" s="1309"/>
      <c r="H32" s="850"/>
      <c r="I32" s="850"/>
      <c r="J32" s="834"/>
      <c r="K32" s="834"/>
      <c r="N32" s="834"/>
    </row>
    <row r="33" spans="1:7" ht="15" customHeight="1">
      <c r="A33" s="1310" t="s">
        <v>503</v>
      </c>
      <c r="B33" s="1005" t="s">
        <v>107</v>
      </c>
      <c r="C33" s="1311" t="s">
        <v>504</v>
      </c>
      <c r="D33" s="1311"/>
      <c r="E33" s="1312"/>
      <c r="F33" s="1313" t="s">
        <v>471</v>
      </c>
      <c r="G33" s="1314"/>
    </row>
    <row r="34" spans="1:7" ht="16.5" customHeight="1">
      <c r="A34" s="1257"/>
      <c r="B34" s="948">
        <f>IF(B10&gt;7,6,B10-1)</f>
        <v>0</v>
      </c>
      <c r="C34" s="1297">
        <v>20</v>
      </c>
      <c r="D34" s="1297"/>
      <c r="E34" s="1298"/>
      <c r="F34" s="1214">
        <f>IF(F32&gt;0,(B34-F32)*C34,B34*C34)</f>
        <v>0</v>
      </c>
      <c r="G34" s="1215"/>
    </row>
    <row r="35" spans="1:7" ht="16.5" customHeight="1">
      <c r="A35" s="885" t="s">
        <v>450</v>
      </c>
      <c r="B35" s="988" t="s">
        <v>107</v>
      </c>
      <c r="C35" s="1299" t="s">
        <v>505</v>
      </c>
      <c r="D35" s="1299"/>
      <c r="E35" s="1300"/>
      <c r="F35" s="1214"/>
      <c r="G35" s="1215"/>
    </row>
    <row r="36" spans="1:7" ht="16.5" customHeight="1">
      <c r="A36" s="956" t="s">
        <v>494</v>
      </c>
      <c r="B36" s="948">
        <v>2</v>
      </c>
      <c r="C36" s="1297">
        <v>14</v>
      </c>
      <c r="D36" s="1297"/>
      <c r="E36" s="1298"/>
      <c r="F36" s="1214">
        <f>+B36*C36</f>
        <v>28</v>
      </c>
      <c r="G36" s="1215"/>
    </row>
    <row r="37" spans="1:7" ht="16.5" customHeight="1">
      <c r="A37" s="956" t="s">
        <v>495</v>
      </c>
      <c r="B37" s="948">
        <f>IF(B10&gt;7,5,B10-2)</f>
        <v>-1</v>
      </c>
      <c r="C37" s="1297">
        <v>28</v>
      </c>
      <c r="D37" s="1297"/>
      <c r="E37" s="1298"/>
      <c r="F37" s="1214">
        <f>+B37*C37</f>
        <v>-28</v>
      </c>
      <c r="G37" s="1215"/>
    </row>
    <row r="38" spans="1:7" ht="16.5" customHeight="1">
      <c r="A38" s="885" t="s">
        <v>506</v>
      </c>
      <c r="B38" s="1282"/>
      <c r="C38" s="1283"/>
      <c r="D38" s="1283"/>
      <c r="E38" s="1284"/>
      <c r="F38" s="1285"/>
      <c r="G38" s="1286"/>
    </row>
    <row r="39" spans="1:7" ht="16.5" customHeight="1">
      <c r="A39" s="885" t="s">
        <v>506</v>
      </c>
      <c r="B39" s="1282"/>
      <c r="C39" s="1283"/>
      <c r="D39" s="1283"/>
      <c r="E39" s="1284"/>
      <c r="F39" s="1285"/>
      <c r="G39" s="1286"/>
    </row>
    <row r="40" spans="1:7" ht="18.600000000000001" customHeight="1" thickBot="1">
      <c r="A40" s="1006" t="s">
        <v>453</v>
      </c>
      <c r="B40" s="1287"/>
      <c r="C40" s="1288"/>
      <c r="D40" s="1288"/>
      <c r="E40" s="1289"/>
      <c r="F40" s="1319" t="s">
        <v>516</v>
      </c>
      <c r="G40" s="1320"/>
    </row>
    <row r="41" spans="1:7" ht="6" customHeight="1" thickBot="1">
      <c r="A41" s="902"/>
      <c r="F41" s="1007"/>
      <c r="G41" s="833"/>
    </row>
    <row r="42" spans="1:7" ht="18.399999999999999" customHeight="1" thickBot="1">
      <c r="A42" s="976" t="s">
        <v>454</v>
      </c>
      <c r="B42" s="1292"/>
      <c r="C42" s="1293"/>
      <c r="D42" s="1293"/>
      <c r="E42" s="1294"/>
      <c r="F42" s="1295" t="str">
        <f>IF(B8="","",B29+C29+F34+F35+F36+F37+F38+F39-F40)</f>
        <v/>
      </c>
      <c r="G42" s="1296"/>
    </row>
    <row r="43" spans="1:7" ht="6" customHeight="1" thickBot="1">
      <c r="A43" s="902"/>
      <c r="B43" s="845"/>
      <c r="C43" s="845"/>
      <c r="D43" s="845"/>
      <c r="E43" s="845"/>
      <c r="F43" s="845"/>
      <c r="G43" s="845"/>
    </row>
    <row r="44" spans="1:7" ht="18.399999999999999" customHeight="1">
      <c r="A44" s="903" t="s">
        <v>455</v>
      </c>
      <c r="B44" s="1275"/>
      <c r="C44" s="1275"/>
      <c r="D44" s="1275"/>
      <c r="E44" s="1275"/>
      <c r="F44" s="1275"/>
      <c r="G44" s="1276"/>
    </row>
    <row r="45" spans="1:7" ht="18.75" customHeight="1">
      <c r="A45" s="815" t="s">
        <v>456</v>
      </c>
      <c r="B45" s="1315"/>
      <c r="C45" s="1315"/>
      <c r="D45" s="1315"/>
      <c r="E45" s="1315"/>
      <c r="F45" s="1315"/>
      <c r="G45" s="1316"/>
    </row>
    <row r="46" spans="1:7" ht="12" customHeight="1">
      <c r="A46" s="1277"/>
      <c r="B46" s="1280"/>
      <c r="C46" s="1280"/>
      <c r="D46" s="1280"/>
      <c r="E46" s="1280"/>
      <c r="F46" s="1280"/>
      <c r="G46" s="1281"/>
    </row>
    <row r="47" spans="1:7" ht="12" customHeight="1">
      <c r="A47" s="1278"/>
      <c r="B47" s="1280"/>
      <c r="C47" s="1280"/>
      <c r="D47" s="1280"/>
      <c r="E47" s="1280"/>
      <c r="F47" s="1280"/>
      <c r="G47" s="1281"/>
    </row>
    <row r="48" spans="1:7" ht="12" customHeight="1">
      <c r="A48" s="1279"/>
      <c r="B48" s="1280"/>
      <c r="C48" s="1280"/>
      <c r="D48" s="1280"/>
      <c r="E48" s="1280"/>
      <c r="F48" s="1280"/>
      <c r="G48" s="1281"/>
    </row>
    <row r="49" spans="1:7" ht="25.15" customHeight="1" thickBot="1">
      <c r="A49" s="851" t="s">
        <v>478</v>
      </c>
      <c r="B49" s="1317" t="s">
        <v>479</v>
      </c>
      <c r="C49" s="1317"/>
      <c r="D49" s="1317"/>
      <c r="E49" s="1317"/>
      <c r="F49" s="1317"/>
      <c r="G49" s="1318"/>
    </row>
    <row r="50" spans="1:7" ht="13.5" customHeight="1">
      <c r="A50" s="852"/>
      <c r="B50" s="852"/>
      <c r="D50" s="852"/>
    </row>
    <row r="51" spans="1:7" ht="15.6" customHeight="1"/>
    <row r="52" spans="1:7" ht="15.6" customHeight="1"/>
  </sheetData>
  <mergeCells count="36">
    <mergeCell ref="A19:G19"/>
    <mergeCell ref="A3:D3"/>
    <mergeCell ref="B4:D4"/>
    <mergeCell ref="B6:D6"/>
    <mergeCell ref="B8:D8"/>
    <mergeCell ref="F8:G8"/>
    <mergeCell ref="C35:E35"/>
    <mergeCell ref="F35:G35"/>
    <mergeCell ref="B20:D20"/>
    <mergeCell ref="B21:D21"/>
    <mergeCell ref="A30:E30"/>
    <mergeCell ref="F30:G30"/>
    <mergeCell ref="A32:E32"/>
    <mergeCell ref="F32:G32"/>
    <mergeCell ref="A33:A34"/>
    <mergeCell ref="C33:E33"/>
    <mergeCell ref="F33:G33"/>
    <mergeCell ref="C34:E34"/>
    <mergeCell ref="F34:G34"/>
    <mergeCell ref="C36:E36"/>
    <mergeCell ref="F36:G36"/>
    <mergeCell ref="C37:E37"/>
    <mergeCell ref="F37:G37"/>
    <mergeCell ref="B38:E38"/>
    <mergeCell ref="F38:G38"/>
    <mergeCell ref="B39:E39"/>
    <mergeCell ref="F39:G39"/>
    <mergeCell ref="B40:E40"/>
    <mergeCell ref="F40:G40"/>
    <mergeCell ref="B42:E42"/>
    <mergeCell ref="F42:G42"/>
    <mergeCell ref="B44:G44"/>
    <mergeCell ref="B45:G45"/>
    <mergeCell ref="A46:A48"/>
    <mergeCell ref="B46:G48"/>
    <mergeCell ref="B49:G49"/>
  </mergeCells>
  <hyperlinks>
    <hyperlink ref="I1" r:id="rId1" xr:uid="{CF6BE87C-D7B5-40D7-97A5-8FE38C69FFE7}"/>
  </hyperlinks>
  <pageMargins left="0.70866141732283472" right="0.51181102362204722" top="0.19685039370078741" bottom="0.39370078740157483" header="0.31496062992125984" footer="0.31496062992125984"/>
  <pageSetup paperSize="9" orientation="portrait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DD4CBA4922004A8600F371FAA029F7" ma:contentTypeVersion="15" ma:contentTypeDescription="Ein neues Dokument erstellen." ma:contentTypeScope="" ma:versionID="e5fe3a2d3b604283f84e5e6c7c7fe3b0">
  <xsd:schema xmlns:xsd="http://www.w3.org/2001/XMLSchema" xmlns:xs="http://www.w3.org/2001/XMLSchema" xmlns:p="http://schemas.microsoft.com/office/2006/metadata/properties" xmlns:ns2="774fda4c-51a9-472e-925e-c2773f2a4fe1" xmlns:ns3="dc838adc-cbe6-4bdb-898c-7ed29be9181a" targetNamespace="http://schemas.microsoft.com/office/2006/metadata/properties" ma:root="true" ma:fieldsID="8813efd3487efeafd7b4376ed141666c" ns2:_="" ns3:_="">
    <xsd:import namespace="774fda4c-51a9-472e-925e-c2773f2a4fe1"/>
    <xsd:import namespace="dc838adc-cbe6-4bdb-898c-7ed29be91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fda4c-51a9-472e-925e-c2773f2a4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4ffd9f4e-52f5-4af2-94d9-12d55bfdf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38adc-cbe6-4bdb-898c-7ed29be91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6ec9232-d63d-4768-b159-4c7edc1cc463}" ma:internalName="TaxCatchAll" ma:showField="CatchAllData" ma:web="dc838adc-cbe6-4bdb-898c-7ed29be91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c838adc-cbe6-4bdb-898c-7ed29be9181a">
      <UserInfo>
        <DisplayName/>
        <AccountId xsi:nil="true"/>
        <AccountType/>
      </UserInfo>
    </SharedWithUsers>
    <TaxCatchAll xmlns="dc838adc-cbe6-4bdb-898c-7ed29be9181a" xsi:nil="true"/>
    <lcf76f155ced4ddcb4097134ff3c332f xmlns="774fda4c-51a9-472e-925e-c2773f2a4fe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3D825A-6627-4514-9C56-9986C77218D1}"/>
</file>

<file path=customXml/itemProps2.xml><?xml version="1.0" encoding="utf-8"?>
<ds:datastoreItem xmlns:ds="http://schemas.openxmlformats.org/officeDocument/2006/customXml" ds:itemID="{C2D1DA8A-46DD-47BB-B4AD-CD825DBF4F67}"/>
</file>

<file path=customXml/itemProps3.xml><?xml version="1.0" encoding="utf-8"?>
<ds:datastoreItem xmlns:ds="http://schemas.openxmlformats.org/officeDocument/2006/customXml" ds:itemID="{BDE64E1A-28EB-42B9-BEF0-BDCEAA181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Jan Kürschner (DAV Altdorf)</cp:lastModifiedBy>
  <cp:revision/>
  <dcterms:created xsi:type="dcterms:W3CDTF">2021-11-17T20:31:51Z</dcterms:created>
  <dcterms:modified xsi:type="dcterms:W3CDTF">2024-11-12T13:03:15Z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0x0101005EDD4CBA4922004A8600F371FAA029F7</vt:lpwstr>
  </property>
  <property fmtid="{D5CDD505-2E9C-101B-9397-08002B2CF9AE}" pid="3" name="Order">
    <vt:r8>565000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